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myers-my.sharepoint.com/personal/ibennett_cmyers_com/Documents/"/>
    </mc:Choice>
  </mc:AlternateContent>
  <xr:revisionPtr revIDLastSave="0" documentId="8_{7F60612D-0077-4AA1-8E4C-7A7DBA726B61}" xr6:coauthVersionLast="47" xr6:coauthVersionMax="47" xr10:uidLastSave="{00000000-0000-0000-0000-000000000000}"/>
  <bookViews>
    <workbookView xWindow="-120" yWindow="-120" windowWidth="29040" windowHeight="15840" firstSheet="1" xr2:uid="{00000000-000D-0000-FFFF-FFFF00000000}"/>
  </bookViews>
  <sheets>
    <sheet name="Earn Impact Capital" sheetId="7" r:id="rId1"/>
    <sheet name="Strategic Capital" sheetId="9" r:id="rId2"/>
    <sheet name="Scen Details" sheetId="8" state="hidden" r:id="rId3"/>
  </sheets>
  <definedNames>
    <definedName name="home" localSheetId="1">'Strategic Capital'!$C$20</definedName>
    <definedName name="home">#REF!</definedName>
    <definedName name="_xlnm.Print_Area" localSheetId="1">'Strategic Capital'!$C$1:$X$35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9" l="1"/>
  <c r="K13" i="9" s="1"/>
  <c r="K14" i="9" s="1"/>
  <c r="K15" i="9" s="1"/>
  <c r="K16" i="9" s="1"/>
  <c r="K17" i="9" s="1"/>
  <c r="K18" i="9" s="1"/>
  <c r="K19" i="9" s="1"/>
  <c r="K20" i="9" s="1"/>
  <c r="T28" i="9" l="1"/>
  <c r="T26" i="9"/>
  <c r="T24" i="9"/>
  <c r="W40" i="9" l="1"/>
  <c r="W38" i="9"/>
  <c r="W36" i="9"/>
  <c r="AD18" i="9" l="1"/>
  <c r="AA18" i="9"/>
  <c r="X18" i="9"/>
  <c r="W18" i="9"/>
  <c r="W39" i="9" l="1"/>
  <c r="W37" i="9" l="1"/>
  <c r="C29" i="9" s="1"/>
  <c r="D7" i="9"/>
  <c r="C7" i="9"/>
  <c r="S2" i="9"/>
  <c r="T2" i="9"/>
  <c r="W11" i="9"/>
  <c r="X11" i="9"/>
  <c r="AA11" i="9"/>
  <c r="AD11" i="9"/>
  <c r="W12" i="9"/>
  <c r="X12" i="9"/>
  <c r="AA12" i="9"/>
  <c r="AD12" i="9"/>
  <c r="W13" i="9"/>
  <c r="X13" i="9"/>
  <c r="AA13" i="9"/>
  <c r="AD13" i="9"/>
  <c r="W14" i="9"/>
  <c r="X14" i="9"/>
  <c r="AA14" i="9"/>
  <c r="AD14" i="9"/>
  <c r="W15" i="9"/>
  <c r="X15" i="9"/>
  <c r="AA15" i="9"/>
  <c r="AD15" i="9"/>
  <c r="W16" i="9"/>
  <c r="X16" i="9"/>
  <c r="AA16" i="9"/>
  <c r="AD16" i="9"/>
  <c r="W17" i="9"/>
  <c r="X17" i="9"/>
  <c r="AA17" i="9"/>
  <c r="AD17" i="9"/>
  <c r="W19" i="9"/>
  <c r="X19" i="9"/>
  <c r="AA19" i="9"/>
  <c r="AD19" i="9"/>
  <c r="W20" i="9"/>
  <c r="X20" i="9"/>
  <c r="AA20" i="9"/>
  <c r="AD20" i="9"/>
  <c r="E39" i="9"/>
  <c r="H39" i="9" s="1"/>
  <c r="E40" i="9"/>
  <c r="H40" i="9" s="1"/>
  <c r="AB18" i="9" l="1"/>
  <c r="AC18" i="9" s="1"/>
  <c r="AE18" i="9"/>
  <c r="AF18" i="9" s="1"/>
  <c r="Y18" i="9"/>
  <c r="Z18" i="9" s="1"/>
  <c r="E37" i="9"/>
  <c r="H37" i="9" s="1"/>
  <c r="Y19" i="9"/>
  <c r="Z19" i="9" s="1"/>
  <c r="AB20" i="9"/>
  <c r="AC20" i="9" s="1"/>
  <c r="Y20" i="9"/>
  <c r="Z20" i="9" s="1"/>
  <c r="E26" i="9"/>
  <c r="AB13" i="9"/>
  <c r="AC13" i="9" s="1"/>
  <c r="AB11" i="9"/>
  <c r="AC11" i="9" s="1"/>
  <c r="Y15" i="9"/>
  <c r="Z15" i="9" s="1"/>
  <c r="Y17" i="9"/>
  <c r="Z17" i="9" s="1"/>
  <c r="Y13" i="9"/>
  <c r="Z13" i="9" s="1"/>
  <c r="AB17" i="9"/>
  <c r="AC17" i="9" s="1"/>
  <c r="Y12" i="9"/>
  <c r="Z12" i="9" s="1"/>
  <c r="Y16" i="9"/>
  <c r="Z16" i="9" s="1"/>
  <c r="AE15" i="9"/>
  <c r="AF15" i="9" s="1"/>
  <c r="AE17" i="9"/>
  <c r="AF17" i="9" s="1"/>
  <c r="AE19" i="9"/>
  <c r="AF19" i="9" s="1"/>
  <c r="AE12" i="9"/>
  <c r="AF12" i="9" s="1"/>
  <c r="AB19" i="9"/>
  <c r="AC19" i="9" s="1"/>
  <c r="AB16" i="9"/>
  <c r="AC16" i="9" s="1"/>
  <c r="AB14" i="9"/>
  <c r="AC14" i="9" s="1"/>
  <c r="AE13" i="9"/>
  <c r="AF13" i="9" s="1"/>
  <c r="AB12" i="9"/>
  <c r="AC12" i="9" s="1"/>
  <c r="Y11" i="9"/>
  <c r="Z11" i="9" s="1"/>
  <c r="M11" i="9" s="1"/>
  <c r="AE11" i="9"/>
  <c r="AF11" i="9" s="1"/>
  <c r="AE20" i="9"/>
  <c r="AF20" i="9" s="1"/>
  <c r="AE16" i="9"/>
  <c r="AF16" i="9" s="1"/>
  <c r="AB15" i="9"/>
  <c r="AC15" i="9" s="1"/>
  <c r="Y14" i="9"/>
  <c r="Z14" i="9" s="1"/>
  <c r="AE14" i="9"/>
  <c r="AF14" i="9" s="1"/>
  <c r="E11" i="9" l="1"/>
  <c r="M18" i="9"/>
  <c r="S18" i="9" s="1"/>
  <c r="M16" i="9"/>
  <c r="S16" i="9" s="1"/>
  <c r="M19" i="9"/>
  <c r="E19" i="9" s="1"/>
  <c r="M17" i="9"/>
  <c r="S17" i="9" s="1"/>
  <c r="M15" i="9"/>
  <c r="S15" i="9" s="1"/>
  <c r="M20" i="9"/>
  <c r="E20" i="9" s="1"/>
  <c r="M14" i="9"/>
  <c r="S14" i="9" s="1"/>
  <c r="M13" i="9"/>
  <c r="E13" i="9" s="1"/>
  <c r="M12" i="9"/>
  <c r="E18" i="9" l="1"/>
  <c r="E16" i="9"/>
  <c r="S19" i="9"/>
  <c r="E17" i="9"/>
  <c r="S12" i="9"/>
  <c r="E12" i="9"/>
  <c r="S11" i="9"/>
  <c r="E15" i="9"/>
  <c r="S13" i="9"/>
  <c r="E14" i="9"/>
  <c r="S20" i="9"/>
  <c r="E23" i="9" l="1"/>
  <c r="S25" i="9"/>
  <c r="E24" i="9"/>
  <c r="E25" i="9" s="1"/>
  <c r="E27" i="9" s="1"/>
  <c r="F27" i="9" s="1"/>
  <c r="S26" i="9"/>
  <c r="E22" i="9"/>
  <c r="F22" i="9" l="1"/>
  <c r="F23" i="9"/>
  <c r="S24" i="9"/>
  <c r="F24" i="9" s="1"/>
  <c r="R14" i="8"/>
  <c r="R13" i="8"/>
  <c r="R12" i="8"/>
  <c r="R11" i="8"/>
  <c r="R10" i="8"/>
  <c r="R9" i="8"/>
  <c r="R8" i="8"/>
  <c r="R7" i="8"/>
  <c r="R6" i="8"/>
  <c r="R5" i="8"/>
  <c r="L4" i="8"/>
  <c r="K5" i="8"/>
  <c r="E11" i="7"/>
  <c r="E10" i="7"/>
  <c r="E9" i="7"/>
  <c r="L5" i="8" l="1"/>
  <c r="P19" i="8"/>
  <c r="K6" i="8"/>
  <c r="K7" i="8" s="1"/>
  <c r="K8" i="8" s="1"/>
  <c r="K9" i="8" s="1"/>
  <c r="K10" i="8" s="1"/>
  <c r="K11" i="8" s="1"/>
  <c r="K12" i="8" s="1"/>
  <c r="K13" i="8" s="1"/>
  <c r="K14" i="8" s="1"/>
  <c r="M5" i="8"/>
  <c r="L6" i="8" l="1"/>
  <c r="L7" i="8" l="1"/>
  <c r="P18" i="8" s="1"/>
  <c r="M6" i="8"/>
  <c r="L8" i="8" l="1"/>
  <c r="M8" i="8" s="1"/>
  <c r="M7" i="8"/>
  <c r="L9" i="8" l="1"/>
  <c r="M9" i="8" s="1"/>
  <c r="D17" i="7"/>
  <c r="L10" i="8" l="1"/>
  <c r="L11" i="8" s="1"/>
  <c r="M11" i="8" s="1"/>
  <c r="M10" i="8" l="1"/>
  <c r="P10" i="8"/>
  <c r="O10" i="8" s="1"/>
  <c r="L12" i="8"/>
  <c r="P11" i="8"/>
  <c r="O11" i="8" s="1"/>
  <c r="P12" i="8" l="1"/>
  <c r="O12" i="8" s="1"/>
  <c r="L13" i="8"/>
  <c r="M12" i="8"/>
  <c r="P13" i="8" l="1"/>
  <c r="O13" i="8" s="1"/>
  <c r="L14" i="8"/>
  <c r="P14" i="8" s="1"/>
  <c r="O14" i="8" s="1"/>
  <c r="M13" i="8"/>
  <c r="M14" i="8" l="1"/>
  <c r="I14" i="8" l="1"/>
  <c r="W14" i="8" s="1"/>
  <c r="I13" i="8"/>
  <c r="W13" i="8" s="1"/>
  <c r="I12" i="8"/>
  <c r="W12" i="8" s="1"/>
  <c r="I11" i="8"/>
  <c r="W11" i="8" s="1"/>
  <c r="I10" i="8"/>
  <c r="W10" i="8" s="1"/>
  <c r="I9" i="8"/>
  <c r="W9" i="8" s="1"/>
  <c r="B5" i="8"/>
  <c r="C4" i="8"/>
  <c r="R4" i="8" l="1"/>
  <c r="B6" i="8"/>
  <c r="B7" i="8" s="1"/>
  <c r="B8" i="8" s="1"/>
  <c r="B9" i="8" s="1"/>
  <c r="B10" i="8" s="1"/>
  <c r="B11" i="8" s="1"/>
  <c r="B12" i="8" s="1"/>
  <c r="B13" i="8" s="1"/>
  <c r="B14" i="8" s="1"/>
  <c r="G19" i="8"/>
  <c r="U19" i="8" s="1"/>
  <c r="I8" i="8"/>
  <c r="W8" i="8" s="1"/>
  <c r="I4" i="8"/>
  <c r="H4" i="8" s="1"/>
  <c r="Q4" i="8" s="1"/>
  <c r="V4" i="8" s="1"/>
  <c r="I5" i="8"/>
  <c r="I6" i="8"/>
  <c r="I7" i="8"/>
  <c r="C5" i="8"/>
  <c r="D5" i="8" l="1"/>
  <c r="W4" i="8"/>
  <c r="W5" i="8"/>
  <c r="P7" i="8"/>
  <c r="W7" i="8"/>
  <c r="W6" i="8"/>
  <c r="P5" i="8"/>
  <c r="Q5" i="8" s="1"/>
  <c r="P6" i="8"/>
  <c r="P8" i="8"/>
  <c r="P9" i="8"/>
  <c r="G5" i="8"/>
  <c r="H5" i="8" s="1"/>
  <c r="C6" i="8"/>
  <c r="G6" i="8" s="1"/>
  <c r="F6" i="8" s="1"/>
  <c r="O5" i="8" l="1"/>
  <c r="P16" i="8"/>
  <c r="Q6" i="8"/>
  <c r="V5" i="8"/>
  <c r="O6" i="8"/>
  <c r="T6" i="8" s="1"/>
  <c r="U6" i="8"/>
  <c r="O7" i="8"/>
  <c r="O8" i="8"/>
  <c r="U5" i="8"/>
  <c r="O9" i="8"/>
  <c r="F5" i="8"/>
  <c r="C7" i="8"/>
  <c r="G18" i="8" s="1"/>
  <c r="H6" i="8"/>
  <c r="D6" i="8"/>
  <c r="T5" i="8" l="1"/>
  <c r="P17" i="8"/>
  <c r="D16" i="7" s="1"/>
  <c r="Q7" i="8"/>
  <c r="V6" i="8"/>
  <c r="D15" i="7"/>
  <c r="C8" i="8"/>
  <c r="D8" i="8" s="1"/>
  <c r="G7" i="8"/>
  <c r="D7" i="8"/>
  <c r="U18" i="8" s="1"/>
  <c r="H7" i="8" l="1"/>
  <c r="V7" i="8" s="1"/>
  <c r="U7" i="8"/>
  <c r="Q8" i="8"/>
  <c r="F7" i="8"/>
  <c r="T7" i="8" s="1"/>
  <c r="C9" i="8"/>
  <c r="C17" i="7" s="1"/>
  <c r="E17" i="7" s="1"/>
  <c r="G8" i="8"/>
  <c r="F8" i="8" l="1"/>
  <c r="T8" i="8" s="1"/>
  <c r="U8" i="8"/>
  <c r="Q9" i="8"/>
  <c r="C10" i="8"/>
  <c r="D10" i="8" s="1"/>
  <c r="G9" i="8"/>
  <c r="U9" i="8" s="1"/>
  <c r="D9" i="8"/>
  <c r="H8" i="8"/>
  <c r="V8" i="8" s="1"/>
  <c r="Q10" i="8" l="1"/>
  <c r="H9" i="8"/>
  <c r="V9" i="8" s="1"/>
  <c r="F9" i="8"/>
  <c r="T9" i="8" s="1"/>
  <c r="G16" i="8"/>
  <c r="C11" i="8"/>
  <c r="G10" i="8"/>
  <c r="F10" i="8" l="1"/>
  <c r="T10" i="8" s="1"/>
  <c r="U10" i="8"/>
  <c r="G17" i="8"/>
  <c r="U17" i="8" s="1"/>
  <c r="U16" i="8"/>
  <c r="Q11" i="8"/>
  <c r="C15" i="7"/>
  <c r="E15" i="7" s="1"/>
  <c r="C12" i="8"/>
  <c r="D12" i="8" s="1"/>
  <c r="G11" i="8"/>
  <c r="D11" i="8"/>
  <c r="H10" i="8"/>
  <c r="V10" i="8" s="1"/>
  <c r="C16" i="7" l="1"/>
  <c r="E16" i="7" s="1"/>
  <c r="F11" i="8"/>
  <c r="T11" i="8" s="1"/>
  <c r="U11" i="8"/>
  <c r="Q12" i="8"/>
  <c r="H11" i="8"/>
  <c r="V11" i="8" s="1"/>
  <c r="G12" i="8"/>
  <c r="C13" i="8"/>
  <c r="Q13" i="8" l="1"/>
  <c r="F12" i="8"/>
  <c r="T12" i="8" s="1"/>
  <c r="U12" i="8"/>
  <c r="C14" i="8"/>
  <c r="G13" i="8"/>
  <c r="D13" i="8"/>
  <c r="H12" i="8"/>
  <c r="V12" i="8" s="1"/>
  <c r="F13" i="8" l="1"/>
  <c r="T13" i="8" s="1"/>
  <c r="U13" i="8"/>
  <c r="Q14" i="8"/>
  <c r="H13" i="8"/>
  <c r="V13" i="8" s="1"/>
  <c r="G14" i="8"/>
  <c r="D14" i="8"/>
  <c r="F14" i="8" l="1"/>
  <c r="T14" i="8" s="1"/>
  <c r="U14" i="8"/>
  <c r="H14" i="8"/>
  <c r="V14" i="8" s="1"/>
</calcChain>
</file>

<file path=xl/sharedStrings.xml><?xml version="1.0" encoding="utf-8"?>
<sst xmlns="http://schemas.openxmlformats.org/spreadsheetml/2006/main" count="138" uniqueCount="90">
  <si>
    <t>Comparison of Earnings Needed to Achieve Capital Goals</t>
  </si>
  <si>
    <t>Current Position</t>
  </si>
  <si>
    <t>Year List</t>
  </si>
  <si>
    <t>Asset Size</t>
  </si>
  <si>
    <t>Capital%</t>
  </si>
  <si>
    <t>Assumptions to Test</t>
  </si>
  <si>
    <t>Scen 1</t>
  </si>
  <si>
    <t>Scen 2</t>
  </si>
  <si>
    <t>Difference</t>
  </si>
  <si>
    <t>Growth%</t>
  </si>
  <si>
    <t>Target Capital%</t>
  </si>
  <si>
    <t>By Year</t>
  </si>
  <si>
    <t>Results</t>
  </si>
  <si>
    <t>Earnings Needed</t>
  </si>
  <si>
    <t>Avg ROA Needed</t>
  </si>
  <si>
    <t>Ending Asset Size</t>
  </si>
  <si>
    <t>Growth</t>
  </si>
  <si>
    <t>Average</t>
  </si>
  <si>
    <t>Aggregate Strategic Capital Requirements</t>
  </si>
  <si>
    <t>Type</t>
  </si>
  <si>
    <t>Earn Help</t>
  </si>
  <si>
    <t>All</t>
  </si>
  <si>
    <t>Assets ($000s)</t>
  </si>
  <si>
    <t>Capital $s</t>
  </si>
  <si>
    <t>Minimum Capital%</t>
  </si>
  <si>
    <t>Rationale for Minimum</t>
  </si>
  <si>
    <t>Risk</t>
  </si>
  <si>
    <t>Yes</t>
  </si>
  <si>
    <t>All Risk</t>
  </si>
  <si>
    <t>Brief Explanation</t>
  </si>
  <si>
    <t>Opp</t>
  </si>
  <si>
    <t>No</t>
  </si>
  <si>
    <t>All Opp</t>
  </si>
  <si>
    <t>N/A</t>
  </si>
  <si>
    <t>Top 5</t>
  </si>
  <si>
    <t>Potential Strategic Need</t>
  </si>
  <si>
    <t>Capital% to Prepare for Selected</t>
  </si>
  <si>
    <t>Capital% Reduction 
if Occurs</t>
  </si>
  <si>
    <t>Desired Coverage</t>
  </si>
  <si>
    <t>Include</t>
  </si>
  <si>
    <t>Rationale</t>
  </si>
  <si>
    <t>Top 4</t>
  </si>
  <si>
    <t>Total</t>
  </si>
  <si>
    <t>Rank</t>
  </si>
  <si>
    <t>Interest Rate Risk</t>
  </si>
  <si>
    <t>Top 3</t>
  </si>
  <si>
    <t>Additional Credit Risk</t>
  </si>
  <si>
    <t>Top 2</t>
  </si>
  <si>
    <t>Regulatory Risk</t>
  </si>
  <si>
    <t>Top 1</t>
  </si>
  <si>
    <t>CECL</t>
  </si>
  <si>
    <t>Fraud</t>
  </si>
  <si>
    <t xml:space="preserve"> </t>
  </si>
  <si>
    <t>PR Disaster</t>
  </si>
  <si>
    <t>Increased BI Investment</t>
  </si>
  <si>
    <t>Automation and AI</t>
  </si>
  <si>
    <t>Merger/Acquisition</t>
  </si>
  <si>
    <t>Fast Deposit Growth</t>
  </si>
  <si>
    <t>Capital to Support Risks</t>
  </si>
  <si>
    <t>Capital to Support Opportunities</t>
  </si>
  <si>
    <t>Total Capital To Support Strategy</t>
  </si>
  <si>
    <t>Total Capital Required to Support Strategy</t>
  </si>
  <si>
    <t>Covers Risk, Opportunities and Minimum Capital%</t>
  </si>
  <si>
    <t>Current Capital%</t>
  </si>
  <si>
    <t>Comments for this Update:  The fast deposit growth assumption has increased based on the record growth we have experienced recently.  Additionally, the credit risk increased as we have started to see….</t>
  </si>
  <si>
    <t># of Items</t>
  </si>
  <si>
    <t>Max</t>
  </si>
  <si>
    <t>Select</t>
  </si>
  <si>
    <t>All Risk/Opportunities</t>
  </si>
  <si>
    <t>Agreements:  Net worth should be able to cover all of the identified major risks and opportunities.  If we are are making a positive ROA after the interest rate environment stress, we will not count on the positive earnings to offset potential strategic net worth needs.</t>
  </si>
  <si>
    <t>or</t>
  </si>
  <si>
    <t>Largest Risks or Opportunities</t>
  </si>
  <si>
    <t>Largest Risks &amp;</t>
  </si>
  <si>
    <t>Largest Opportunities</t>
  </si>
  <si>
    <t>Adjust selection and # of Items to reflect philosophy of what you want capital to be able to cover</t>
  </si>
  <si>
    <t>Make sure you have sufficient number of items in your selections.</t>
  </si>
  <si>
    <t>Asset Growth-Scen 1</t>
  </si>
  <si>
    <t>Scenario 1</t>
  </si>
  <si>
    <t>Asset Growth-Scen 2</t>
  </si>
  <si>
    <t>Scenario 2</t>
  </si>
  <si>
    <t>Year</t>
  </si>
  <si>
    <t>Assets</t>
  </si>
  <si>
    <t>Avg Assets</t>
  </si>
  <si>
    <t>ROA</t>
  </si>
  <si>
    <t>Net Inc</t>
  </si>
  <si>
    <t>Net Worth</t>
  </si>
  <si>
    <t>NW Ratio</t>
  </si>
  <si>
    <t>Total for Selected Years</t>
  </si>
  <si>
    <t>Avg Assets for Selected Years</t>
  </si>
  <si>
    <t>Assumed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</si>
</sst>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6"/>
      <color rgb="FFC00000"/>
      <name val="Arial"/>
      <family val="2"/>
    </font>
    <font>
      <sz val="10"/>
      <name val="Arial"/>
      <family val="2"/>
    </font>
    <font>
      <sz val="16"/>
      <color indexed="9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6"/>
      <color rgb="FF2C2C2C"/>
      <name val="Arial"/>
      <family val="2"/>
    </font>
    <font>
      <b/>
      <sz val="15"/>
      <color indexed="9"/>
      <name val="Arial"/>
      <family val="2"/>
    </font>
    <font>
      <b/>
      <sz val="16"/>
      <color indexed="9"/>
      <name val="Arial"/>
      <family val="2"/>
    </font>
    <font>
      <sz val="15"/>
      <color indexed="9"/>
      <name val="Arial"/>
      <family val="2"/>
    </font>
    <font>
      <sz val="16"/>
      <color theme="0"/>
      <name val="Arial"/>
      <family val="2"/>
    </font>
    <font>
      <b/>
      <sz val="16"/>
      <color rgb="FFC00000"/>
      <name val="Arial"/>
      <family val="2"/>
    </font>
    <font>
      <sz val="18"/>
      <name val="Arial"/>
      <family val="2"/>
    </font>
    <font>
      <sz val="22"/>
      <color indexed="9"/>
      <name val="Arial Black"/>
      <family val="2"/>
    </font>
    <font>
      <b/>
      <sz val="16"/>
      <color theme="0"/>
      <name val="Arial"/>
      <family val="2"/>
    </font>
    <font>
      <b/>
      <sz val="14"/>
      <color theme="1"/>
      <name val="Arial Black"/>
      <family val="2"/>
    </font>
    <font>
      <b/>
      <sz val="16"/>
      <color theme="0"/>
      <name val="Arial Black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4"/>
      <name val="Arial Black"/>
      <family val="2"/>
    </font>
    <font>
      <b/>
      <sz val="15"/>
      <color theme="0"/>
      <name val="Arial"/>
      <family val="2"/>
    </font>
    <font>
      <sz val="15"/>
      <color theme="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theme="1"/>
      </left>
      <right style="thick">
        <color theme="1"/>
      </right>
      <top style="thick">
        <color rgb="FFC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 style="medium">
        <color indexed="64"/>
      </left>
      <right/>
      <top/>
      <bottom style="thick">
        <color rgb="FFC00000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medium">
        <color indexed="64"/>
      </right>
      <top style="thick">
        <color rgb="FFC00000"/>
      </top>
      <bottom/>
      <diagonal/>
    </border>
    <border>
      <left style="thick">
        <color indexed="64"/>
      </left>
      <right/>
      <top style="thick">
        <color indexed="64"/>
      </top>
      <bottom style="thick">
        <color rgb="FFC00000"/>
      </bottom>
      <diagonal/>
    </border>
    <border>
      <left/>
      <right/>
      <top style="thick">
        <color indexed="64"/>
      </top>
      <bottom style="thick">
        <color rgb="FFC00000"/>
      </bottom>
      <diagonal/>
    </border>
    <border>
      <left/>
      <right style="thick">
        <color indexed="64"/>
      </right>
      <top style="thick">
        <color indexed="64"/>
      </top>
      <bottom style="thick">
        <color rgb="FFC00000"/>
      </bottom>
      <diagonal/>
    </border>
    <border>
      <left style="medium">
        <color indexed="64"/>
      </left>
      <right/>
      <top style="thin">
        <color indexed="64"/>
      </top>
      <bottom style="thick">
        <color rgb="FFC00000"/>
      </bottom>
      <diagonal/>
    </border>
    <border>
      <left/>
      <right/>
      <top style="thin">
        <color indexed="64"/>
      </top>
      <bottom style="thick">
        <color rgb="FFC00000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C00000"/>
      </right>
      <top style="thin">
        <color indexed="64"/>
      </top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 style="thick">
        <color rgb="FFC00000"/>
      </left>
      <right style="medium">
        <color indexed="64"/>
      </right>
      <top/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medium">
        <color indexed="64"/>
      </left>
      <right/>
      <top style="thick">
        <color rgb="FFC00000"/>
      </top>
      <bottom/>
      <diagonal/>
    </border>
    <border>
      <left style="medium">
        <color indexed="64"/>
      </left>
      <right/>
      <top style="medium">
        <color theme="1"/>
      </top>
      <bottom style="thick">
        <color rgb="FFC00000"/>
      </bottom>
      <diagonal/>
    </border>
    <border>
      <left/>
      <right/>
      <top style="medium">
        <color theme="1"/>
      </top>
      <bottom style="thick">
        <color rgb="FFC00000"/>
      </bottom>
      <diagonal/>
    </border>
    <border>
      <left/>
      <right style="medium">
        <color indexed="64"/>
      </right>
      <top style="medium">
        <color theme="1"/>
      </top>
      <bottom style="thick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07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0" fontId="5" fillId="0" borderId="0" xfId="2" applyNumberFormat="1" applyFont="1" applyBorder="1" applyAlignment="1" applyProtection="1">
      <alignment horizontal="right" vertical="center"/>
    </xf>
    <xf numFmtId="5" fontId="5" fillId="0" borderId="0" xfId="1" applyNumberFormat="1" applyFont="1" applyBorder="1" applyAlignment="1" applyProtection="1">
      <alignment horizontal="right" vertical="center"/>
    </xf>
    <xf numFmtId="164" fontId="5" fillId="0" borderId="0" xfId="2" applyNumberFormat="1" applyFont="1" applyBorder="1" applyAlignment="1" applyProtection="1">
      <alignment horizontal="right" vertical="center"/>
    </xf>
    <xf numFmtId="165" fontId="5" fillId="0" borderId="0" xfId="1" applyNumberFormat="1" applyFont="1" applyBorder="1" applyAlignment="1" applyProtection="1">
      <alignment horizontal="right" vertical="center"/>
    </xf>
    <xf numFmtId="165" fontId="0" fillId="0" borderId="0" xfId="1" applyNumberFormat="1" applyFont="1"/>
    <xf numFmtId="5" fontId="0" fillId="0" borderId="0" xfId="0" applyNumberFormat="1"/>
    <xf numFmtId="9" fontId="0" fillId="0" borderId="0" xfId="2" applyFont="1"/>
    <xf numFmtId="0" fontId="3" fillId="3" borderId="2" xfId="0" applyFont="1" applyFill="1" applyBorder="1" applyAlignment="1">
      <alignment horizontal="center" vertical="center" wrapText="1"/>
    </xf>
    <xf numFmtId="10" fontId="5" fillId="0" borderId="3" xfId="2" applyNumberFormat="1" applyFont="1" applyBorder="1" applyAlignment="1" applyProtection="1">
      <alignment horizontal="right" vertical="center"/>
    </xf>
    <xf numFmtId="0" fontId="6" fillId="0" borderId="0" xfId="0" applyFont="1"/>
    <xf numFmtId="0" fontId="7" fillId="0" borderId="0" xfId="0" applyFont="1"/>
    <xf numFmtId="10" fontId="5" fillId="0" borderId="0" xfId="2" applyNumberFormat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9" fillId="0" borderId="0" xfId="3" applyAlignment="1">
      <alignment horizontal="center"/>
    </xf>
    <xf numFmtId="9" fontId="9" fillId="0" borderId="0" xfId="4" applyFont="1" applyAlignment="1" applyProtection="1">
      <alignment horizontal="center"/>
    </xf>
    <xf numFmtId="10" fontId="5" fillId="0" borderId="0" xfId="3" applyNumberFormat="1" applyFont="1" applyAlignment="1">
      <alignment horizontal="right"/>
    </xf>
    <xf numFmtId="0" fontId="5" fillId="0" borderId="0" xfId="3" applyFont="1" applyAlignment="1">
      <alignment horizontal="center"/>
    </xf>
    <xf numFmtId="0" fontId="9" fillId="2" borderId="8" xfId="3" applyFill="1" applyBorder="1" applyAlignment="1">
      <alignment horizontal="center"/>
    </xf>
    <xf numFmtId="165" fontId="12" fillId="2" borderId="9" xfId="5" applyNumberFormat="1" applyFont="1" applyFill="1" applyBorder="1" applyAlignment="1" applyProtection="1">
      <alignment horizontal="right"/>
    </xf>
    <xf numFmtId="0" fontId="9" fillId="2" borderId="9" xfId="3" applyFill="1" applyBorder="1" applyAlignment="1">
      <alignment horizontal="center"/>
    </xf>
    <xf numFmtId="0" fontId="9" fillId="2" borderId="10" xfId="3" applyFill="1" applyBorder="1" applyAlignment="1">
      <alignment horizontal="center"/>
    </xf>
    <xf numFmtId="9" fontId="5" fillId="0" borderId="0" xfId="4" applyFont="1" applyAlignment="1" applyProtection="1">
      <alignment horizontal="center"/>
    </xf>
    <xf numFmtId="43" fontId="9" fillId="0" borderId="0" xfId="3" applyNumberFormat="1" applyAlignment="1">
      <alignment horizontal="center"/>
    </xf>
    <xf numFmtId="0" fontId="14" fillId="0" borderId="11" xfId="3" applyFont="1" applyBorder="1" applyAlignment="1">
      <alignment horizontal="center" vertical="center"/>
    </xf>
    <xf numFmtId="10" fontId="14" fillId="0" borderId="0" xfId="4" applyNumberFormat="1" applyFont="1" applyFill="1" applyBorder="1" applyAlignment="1" applyProtection="1">
      <alignment horizontal="right" vertical="center" wrapText="1"/>
    </xf>
    <xf numFmtId="10" fontId="9" fillId="0" borderId="0" xfId="4" applyNumberFormat="1" applyFont="1" applyAlignment="1" applyProtection="1">
      <alignment horizontal="center"/>
    </xf>
    <xf numFmtId="0" fontId="14" fillId="0" borderId="11" xfId="3" applyFont="1" applyBorder="1" applyAlignment="1">
      <alignment vertical="center" wrapText="1"/>
    </xf>
    <xf numFmtId="0" fontId="14" fillId="0" borderId="0" xfId="3" applyFont="1" applyAlignment="1">
      <alignment vertical="center" wrapText="1"/>
    </xf>
    <xf numFmtId="10" fontId="14" fillId="0" borderId="0" xfId="4" applyNumberFormat="1" applyFont="1" applyFill="1" applyBorder="1" applyAlignment="1" applyProtection="1">
      <alignment horizontal="center" vertical="center" wrapText="1"/>
    </xf>
    <xf numFmtId="10" fontId="14" fillId="0" borderId="0" xfId="3" applyNumberFormat="1" applyFont="1" applyAlignment="1">
      <alignment horizontal="right" vertical="center" wrapText="1"/>
    </xf>
    <xf numFmtId="0" fontId="9" fillId="6" borderId="0" xfId="3" applyFill="1" applyAlignment="1">
      <alignment horizontal="center" vertical="center"/>
    </xf>
    <xf numFmtId="10" fontId="18" fillId="5" borderId="0" xfId="3" applyNumberFormat="1" applyFont="1" applyFill="1" applyAlignment="1">
      <alignment horizontal="right"/>
    </xf>
    <xf numFmtId="0" fontId="16" fillId="7" borderId="12" xfId="3" applyFont="1" applyFill="1" applyBorder="1" applyAlignment="1">
      <alignment horizontal="center"/>
    </xf>
    <xf numFmtId="0" fontId="9" fillId="0" borderId="11" xfId="3" applyBorder="1" applyAlignment="1">
      <alignment horizontal="center"/>
    </xf>
    <xf numFmtId="3" fontId="10" fillId="0" borderId="0" xfId="3" applyNumberFormat="1" applyFont="1" applyAlignment="1">
      <alignment horizontal="center"/>
    </xf>
    <xf numFmtId="3" fontId="10" fillId="0" borderId="0" xfId="3" applyNumberFormat="1" applyFont="1" applyAlignment="1">
      <alignment horizontal="right"/>
    </xf>
    <xf numFmtId="3" fontId="10" fillId="0" borderId="1" xfId="3" applyNumberFormat="1" applyFont="1" applyBorder="1" applyAlignment="1">
      <alignment horizontal="center"/>
    </xf>
    <xf numFmtId="0" fontId="19" fillId="0" borderId="11" xfId="3" applyFont="1" applyBorder="1" applyAlignment="1">
      <alignment horizontal="center"/>
    </xf>
    <xf numFmtId="10" fontId="19" fillId="0" borderId="0" xfId="3" applyNumberFormat="1" applyFont="1" applyAlignment="1">
      <alignment horizontal="center"/>
    </xf>
    <xf numFmtId="0" fontId="20" fillId="0" borderId="11" xfId="3" applyFont="1" applyBorder="1" applyAlignment="1">
      <alignment horizontal="center"/>
    </xf>
    <xf numFmtId="0" fontId="20" fillId="0" borderId="0" xfId="3" applyFont="1" applyAlignment="1">
      <alignment horizontal="right"/>
    </xf>
    <xf numFmtId="0" fontId="20" fillId="0" borderId="1" xfId="3" applyFont="1" applyBorder="1" applyAlignment="1">
      <alignment horizontal="center"/>
    </xf>
    <xf numFmtId="3" fontId="9" fillId="0" borderId="0" xfId="5" applyNumberFormat="1" applyFont="1" applyAlignment="1" applyProtection="1">
      <alignment horizontal="center"/>
    </xf>
    <xf numFmtId="0" fontId="20" fillId="0" borderId="0" xfId="3" applyFont="1" applyAlignment="1">
      <alignment horizontal="center"/>
    </xf>
    <xf numFmtId="0" fontId="9" fillId="0" borderId="0" xfId="3" applyAlignment="1">
      <alignment horizontal="left"/>
    </xf>
    <xf numFmtId="165" fontId="0" fillId="0" borderId="0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21" xfId="0" applyFont="1" applyBorder="1"/>
    <xf numFmtId="10" fontId="8" fillId="0" borderId="22" xfId="2" applyNumberFormat="1" applyFont="1" applyBorder="1" applyAlignment="1" applyProtection="1">
      <alignment horizontal="right" vertical="center"/>
    </xf>
    <xf numFmtId="0" fontId="6" fillId="8" borderId="23" xfId="0" applyFont="1" applyFill="1" applyBorder="1"/>
    <xf numFmtId="0" fontId="6" fillId="8" borderId="25" xfId="0" applyFont="1" applyFill="1" applyBorder="1"/>
    <xf numFmtId="5" fontId="5" fillId="8" borderId="6" xfId="1" applyNumberFormat="1" applyFont="1" applyFill="1" applyBorder="1" applyAlignment="1" applyProtection="1">
      <alignment horizontal="right" vertical="center"/>
    </xf>
    <xf numFmtId="5" fontId="8" fillId="8" borderId="26" xfId="1" applyNumberFormat="1" applyFont="1" applyFill="1" applyBorder="1" applyAlignment="1" applyProtection="1">
      <alignment horizontal="right" vertical="center"/>
    </xf>
    <xf numFmtId="5" fontId="5" fillId="8" borderId="20" xfId="1" applyNumberFormat="1" applyFont="1" applyFill="1" applyBorder="1" applyAlignment="1" applyProtection="1">
      <alignment horizontal="right" vertical="center"/>
    </xf>
    <xf numFmtId="5" fontId="8" fillId="8" borderId="24" xfId="1" applyNumberFormat="1" applyFont="1" applyFill="1" applyBorder="1" applyAlignment="1" applyProtection="1">
      <alignment horizontal="right" vertical="center"/>
    </xf>
    <xf numFmtId="0" fontId="0" fillId="0" borderId="27" xfId="0" applyBorder="1"/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0" fontId="22" fillId="3" borderId="0" xfId="3" applyNumberFormat="1" applyFont="1" applyFill="1" applyAlignment="1">
      <alignment horizontal="center"/>
    </xf>
    <xf numFmtId="9" fontId="9" fillId="0" borderId="0" xfId="4" applyFont="1" applyBorder="1" applyAlignment="1" applyProtection="1">
      <alignment horizontal="center"/>
    </xf>
    <xf numFmtId="0" fontId="9" fillId="0" borderId="9" xfId="3" applyBorder="1" applyAlignment="1">
      <alignment horizontal="center"/>
    </xf>
    <xf numFmtId="0" fontId="25" fillId="3" borderId="1" xfId="3" applyFont="1" applyFill="1" applyBorder="1" applyAlignment="1">
      <alignment horizontal="center"/>
    </xf>
    <xf numFmtId="0" fontId="9" fillId="0" borderId="10" xfId="3" applyBorder="1" applyAlignment="1">
      <alignment horizontal="center"/>
    </xf>
    <xf numFmtId="0" fontId="25" fillId="2" borderId="30" xfId="3" applyFont="1" applyFill="1" applyBorder="1" applyAlignment="1">
      <alignment horizontal="center"/>
    </xf>
    <xf numFmtId="10" fontId="22" fillId="2" borderId="31" xfId="3" applyNumberFormat="1" applyFont="1" applyFill="1" applyBorder="1" applyAlignment="1">
      <alignment horizontal="center"/>
    </xf>
    <xf numFmtId="10" fontId="22" fillId="2" borderId="32" xfId="3" applyNumberFormat="1" applyFont="1" applyFill="1" applyBorder="1" applyAlignment="1">
      <alignment horizontal="center"/>
    </xf>
    <xf numFmtId="0" fontId="9" fillId="0" borderId="13" xfId="3" applyBorder="1" applyAlignment="1">
      <alignment horizontal="center"/>
    </xf>
    <xf numFmtId="0" fontId="5" fillId="0" borderId="0" xfId="3" applyFont="1" applyAlignment="1">
      <alignment horizontal="center" vertical="center"/>
    </xf>
    <xf numFmtId="0" fontId="9" fillId="3" borderId="11" xfId="3" applyFill="1" applyBorder="1" applyAlignment="1">
      <alignment horizontal="center"/>
    </xf>
    <xf numFmtId="10" fontId="11" fillId="0" borderId="1" xfId="3" applyNumberFormat="1" applyFont="1" applyBorder="1" applyAlignment="1">
      <alignment horizontal="right" indent="1"/>
    </xf>
    <xf numFmtId="10" fontId="5" fillId="0" borderId="1" xfId="3" applyNumberFormat="1" applyFont="1" applyBorder="1" applyAlignment="1">
      <alignment horizontal="right" indent="1"/>
    </xf>
    <xf numFmtId="10" fontId="11" fillId="0" borderId="1" xfId="3" applyNumberFormat="1" applyFont="1" applyBorder="1" applyAlignment="1">
      <alignment horizontal="right" wrapText="1" indent="1"/>
    </xf>
    <xf numFmtId="0" fontId="13" fillId="0" borderId="0" xfId="3" applyFont="1" applyAlignment="1">
      <alignment horizontal="left" vertical="top" wrapText="1"/>
    </xf>
    <xf numFmtId="10" fontId="5" fillId="0" borderId="0" xfId="4" applyNumberFormat="1" applyFont="1" applyFill="1" applyBorder="1" applyAlignment="1" applyProtection="1">
      <alignment horizontal="center"/>
    </xf>
    <xf numFmtId="0" fontId="16" fillId="7" borderId="29" xfId="3" applyFont="1" applyFill="1" applyBorder="1" applyAlignment="1">
      <alignment horizontal="center"/>
    </xf>
    <xf numFmtId="0" fontId="16" fillId="7" borderId="32" xfId="3" applyFont="1" applyFill="1" applyBorder="1" applyAlignment="1">
      <alignment horizontal="center"/>
    </xf>
    <xf numFmtId="10" fontId="5" fillId="0" borderId="1" xfId="3" applyNumberFormat="1" applyFont="1" applyBorder="1" applyAlignment="1">
      <alignment horizontal="right"/>
    </xf>
    <xf numFmtId="0" fontId="5" fillId="0" borderId="11" xfId="3" applyFont="1" applyBorder="1" applyAlignment="1">
      <alignment horizontal="center"/>
    </xf>
    <xf numFmtId="10" fontId="5" fillId="0" borderId="10" xfId="3" applyNumberFormat="1" applyFont="1" applyBorder="1" applyAlignment="1">
      <alignment horizontal="right"/>
    </xf>
    <xf numFmtId="10" fontId="5" fillId="0" borderId="9" xfId="4" applyNumberFormat="1" applyFont="1" applyFill="1" applyBorder="1" applyAlignment="1" applyProtection="1">
      <alignment horizontal="center"/>
    </xf>
    <xf numFmtId="0" fontId="5" fillId="0" borderId="9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10" fontId="5" fillId="8" borderId="1" xfId="3" applyNumberFormat="1" applyFont="1" applyFill="1" applyBorder="1" applyAlignment="1">
      <alignment horizontal="right"/>
    </xf>
    <xf numFmtId="10" fontId="5" fillId="8" borderId="0" xfId="4" applyNumberFormat="1" applyFont="1" applyFill="1" applyBorder="1" applyAlignment="1" applyProtection="1">
      <alignment horizontal="center"/>
    </xf>
    <xf numFmtId="0" fontId="5" fillId="8" borderId="0" xfId="3" applyFont="1" applyFill="1" applyAlignment="1">
      <alignment horizontal="center"/>
    </xf>
    <xf numFmtId="0" fontId="5" fillId="8" borderId="11" xfId="3" applyFont="1" applyFill="1" applyBorder="1" applyAlignment="1">
      <alignment horizontal="center"/>
    </xf>
    <xf numFmtId="0" fontId="0" fillId="2" borderId="30" xfId="0" applyFill="1" applyBorder="1"/>
    <xf numFmtId="0" fontId="22" fillId="2" borderId="30" xfId="0" applyFont="1" applyFill="1" applyBorder="1" applyAlignment="1">
      <alignment horizontal="center" vertical="center"/>
    </xf>
    <xf numFmtId="0" fontId="22" fillId="2" borderId="32" xfId="0" applyFont="1" applyFill="1" applyBorder="1" applyAlignment="1">
      <alignment horizontal="center" vertical="center"/>
    </xf>
    <xf numFmtId="0" fontId="0" fillId="2" borderId="13" xfId="0" applyFill="1" applyBorder="1"/>
    <xf numFmtId="0" fontId="0" fillId="2" borderId="12" xfId="0" applyFill="1" applyBorder="1"/>
    <xf numFmtId="0" fontId="0" fillId="0" borderId="13" xfId="0" applyBorder="1"/>
    <xf numFmtId="1" fontId="5" fillId="0" borderId="0" xfId="3" applyNumberFormat="1" applyFont="1" applyAlignment="1">
      <alignment horizontal="right"/>
    </xf>
    <xf numFmtId="10" fontId="18" fillId="3" borderId="0" xfId="3" applyNumberFormat="1" applyFont="1" applyFill="1" applyAlignment="1">
      <alignment horizontal="center"/>
    </xf>
    <xf numFmtId="0" fontId="9" fillId="3" borderId="0" xfId="3" applyFill="1" applyAlignment="1">
      <alignment horizontal="center"/>
    </xf>
    <xf numFmtId="0" fontId="26" fillId="0" borderId="0" xfId="3" applyFont="1" applyAlignment="1">
      <alignment horizontal="left"/>
    </xf>
    <xf numFmtId="0" fontId="27" fillId="0" borderId="0" xfId="3" applyFont="1" applyAlignment="1">
      <alignment horizontal="center"/>
    </xf>
    <xf numFmtId="10" fontId="22" fillId="3" borderId="34" xfId="3" applyNumberFormat="1" applyFont="1" applyFill="1" applyBorder="1" applyAlignment="1">
      <alignment horizontal="center"/>
    </xf>
    <xf numFmtId="0" fontId="9" fillId="3" borderId="8" xfId="3" applyFill="1" applyBorder="1" applyAlignment="1">
      <alignment horizontal="center"/>
    </xf>
    <xf numFmtId="0" fontId="19" fillId="0" borderId="0" xfId="3" applyFont="1" applyAlignment="1">
      <alignment horizontal="center"/>
    </xf>
    <xf numFmtId="0" fontId="16" fillId="7" borderId="13" xfId="3" applyFont="1" applyFill="1" applyBorder="1" applyAlignment="1">
      <alignment horizontal="center" wrapText="1"/>
    </xf>
    <xf numFmtId="0" fontId="22" fillId="2" borderId="42" xfId="0" applyFont="1" applyFill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8" fillId="8" borderId="44" xfId="0" applyFont="1" applyFill="1" applyBorder="1"/>
    <xf numFmtId="10" fontId="8" fillId="0" borderId="45" xfId="2" applyNumberFormat="1" applyFont="1" applyBorder="1" applyAlignment="1" applyProtection="1">
      <alignment horizontal="right" vertical="center"/>
    </xf>
    <xf numFmtId="10" fontId="8" fillId="8" borderId="46" xfId="2" applyNumberFormat="1" applyFont="1" applyFill="1" applyBorder="1" applyAlignment="1" applyProtection="1">
      <alignment horizontal="right" vertical="center"/>
    </xf>
    <xf numFmtId="0" fontId="28" fillId="0" borderId="0" xfId="0" applyFont="1"/>
    <xf numFmtId="0" fontId="6" fillId="8" borderId="47" xfId="0" applyFont="1" applyFill="1" applyBorder="1"/>
    <xf numFmtId="0" fontId="6" fillId="0" borderId="48" xfId="0" applyFont="1" applyBorder="1"/>
    <xf numFmtId="0" fontId="6" fillId="8" borderId="49" xfId="0" applyFont="1" applyFill="1" applyBorder="1"/>
    <xf numFmtId="10" fontId="5" fillId="0" borderId="33" xfId="2" applyNumberFormat="1" applyFont="1" applyBorder="1" applyAlignment="1" applyProtection="1">
      <alignment horizontal="right" vertical="center"/>
      <protection locked="0"/>
    </xf>
    <xf numFmtId="0" fontId="5" fillId="8" borderId="33" xfId="0" applyFont="1" applyFill="1" applyBorder="1" applyProtection="1">
      <protection locked="0"/>
    </xf>
    <xf numFmtId="10" fontId="5" fillId="0" borderId="0" xfId="2" applyNumberFormat="1" applyFont="1" applyBorder="1" applyAlignment="1" applyProtection="1">
      <alignment horizontal="right" vertical="center"/>
      <protection locked="0"/>
    </xf>
    <xf numFmtId="10" fontId="5" fillId="8" borderId="50" xfId="2" applyNumberFormat="1" applyFont="1" applyFill="1" applyBorder="1" applyAlignment="1" applyProtection="1">
      <alignment horizontal="right" vertical="center"/>
      <protection locked="0"/>
    </xf>
    <xf numFmtId="10" fontId="5" fillId="8" borderId="33" xfId="2" applyNumberFormat="1" applyFont="1" applyFill="1" applyBorder="1" applyAlignment="1" applyProtection="1">
      <alignment horizontal="right" vertical="center"/>
      <protection locked="0"/>
    </xf>
    <xf numFmtId="5" fontId="5" fillId="0" borderId="33" xfId="1" applyNumberFormat="1" applyFont="1" applyBorder="1" applyAlignment="1" applyProtection="1">
      <alignment horizontal="right" vertical="center"/>
      <protection locked="0"/>
    </xf>
    <xf numFmtId="10" fontId="10" fillId="5" borderId="50" xfId="3" applyNumberFormat="1" applyFont="1" applyFill="1" applyBorder="1" applyAlignment="1" applyProtection="1">
      <alignment horizontal="right"/>
      <protection locked="0"/>
    </xf>
    <xf numFmtId="10" fontId="17" fillId="5" borderId="51" xfId="3" applyNumberFormat="1" applyFont="1" applyFill="1" applyBorder="1" applyAlignment="1" applyProtection="1">
      <alignment horizontal="center"/>
      <protection locked="0"/>
    </xf>
    <xf numFmtId="1" fontId="11" fillId="0" borderId="0" xfId="4" applyNumberFormat="1" applyFont="1" applyBorder="1" applyAlignment="1" applyProtection="1">
      <alignment horizontal="center" vertical="center"/>
    </xf>
    <xf numFmtId="3" fontId="10" fillId="5" borderId="1" xfId="3" applyNumberFormat="1" applyFont="1" applyFill="1" applyBorder="1" applyAlignment="1">
      <alignment horizontal="center"/>
    </xf>
    <xf numFmtId="3" fontId="10" fillId="5" borderId="0" xfId="3" applyNumberFormat="1" applyFont="1" applyFill="1" applyAlignment="1">
      <alignment horizontal="center"/>
    </xf>
    <xf numFmtId="10" fontId="17" fillId="5" borderId="0" xfId="3" applyNumberFormat="1" applyFont="1" applyFill="1" applyAlignment="1">
      <alignment horizontal="center"/>
    </xf>
    <xf numFmtId="49" fontId="17" fillId="5" borderId="11" xfId="4" applyNumberFormat="1" applyFont="1" applyFill="1" applyBorder="1" applyAlignment="1" applyProtection="1">
      <alignment horizontal="center" vertical="center"/>
    </xf>
    <xf numFmtId="10" fontId="10" fillId="5" borderId="0" xfId="3" applyNumberFormat="1" applyFont="1" applyFill="1" applyAlignment="1">
      <alignment horizontal="right"/>
    </xf>
    <xf numFmtId="10" fontId="10" fillId="5" borderId="0" xfId="3" applyNumberFormat="1" applyFont="1" applyFill="1" applyAlignment="1">
      <alignment horizontal="center"/>
    </xf>
    <xf numFmtId="9" fontId="10" fillId="5" borderId="0" xfId="4" applyFont="1" applyFill="1" applyBorder="1" applyAlignment="1" applyProtection="1">
      <alignment horizontal="center" vertical="center"/>
    </xf>
    <xf numFmtId="0" fontId="10" fillId="5" borderId="1" xfId="3" applyFont="1" applyFill="1" applyBorder="1" applyAlignment="1">
      <alignment horizontal="left" vertical="center"/>
    </xf>
    <xf numFmtId="0" fontId="10" fillId="5" borderId="0" xfId="3" applyFont="1" applyFill="1" applyAlignment="1">
      <alignment horizontal="left" vertical="center"/>
    </xf>
    <xf numFmtId="10" fontId="10" fillId="5" borderId="33" xfId="3" applyNumberFormat="1" applyFont="1" applyFill="1" applyBorder="1" applyAlignment="1">
      <alignment horizontal="center"/>
    </xf>
    <xf numFmtId="10" fontId="10" fillId="5" borderId="33" xfId="3" applyNumberFormat="1" applyFont="1" applyFill="1" applyBorder="1" applyAlignment="1">
      <alignment horizontal="center" vertical="center"/>
    </xf>
    <xf numFmtId="10" fontId="10" fillId="3" borderId="11" xfId="3" applyNumberFormat="1" applyFont="1" applyFill="1" applyBorder="1" applyAlignment="1">
      <alignment horizontal="center"/>
    </xf>
    <xf numFmtId="10" fontId="10" fillId="3" borderId="0" xfId="3" applyNumberFormat="1" applyFont="1" applyFill="1" applyAlignment="1">
      <alignment horizontal="center"/>
    </xf>
    <xf numFmtId="10" fontId="10" fillId="3" borderId="11" xfId="3" applyNumberFormat="1" applyFont="1" applyFill="1" applyBorder="1" applyAlignment="1">
      <alignment horizontal="center" vertical="center"/>
    </xf>
    <xf numFmtId="10" fontId="10" fillId="3" borderId="0" xfId="3" applyNumberFormat="1" applyFont="1" applyFill="1" applyAlignment="1">
      <alignment horizontal="center" vertical="center"/>
    </xf>
    <xf numFmtId="9" fontId="10" fillId="5" borderId="33" xfId="4" applyFont="1" applyFill="1" applyBorder="1" applyAlignment="1" applyProtection="1">
      <alignment horizontal="center" vertical="center"/>
      <protection locked="0"/>
    </xf>
    <xf numFmtId="49" fontId="17" fillId="5" borderId="33" xfId="4" applyNumberFormat="1" applyFont="1" applyFill="1" applyBorder="1" applyAlignment="1" applyProtection="1">
      <alignment horizontal="center" vertical="center"/>
      <protection locked="0"/>
    </xf>
    <xf numFmtId="1" fontId="11" fillId="0" borderId="33" xfId="4" applyNumberFormat="1" applyFont="1" applyBorder="1" applyAlignment="1" applyProtection="1">
      <alignment horizontal="center" vertical="center"/>
      <protection locked="0"/>
    </xf>
    <xf numFmtId="1" fontId="11" fillId="0" borderId="40" xfId="4" applyNumberFormat="1" applyFont="1" applyBorder="1" applyAlignment="1" applyProtection="1">
      <alignment horizontal="center"/>
      <protection locked="0"/>
    </xf>
    <xf numFmtId="1" fontId="11" fillId="0" borderId="33" xfId="4" applyNumberFormat="1" applyFont="1" applyBorder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/>
      <protection locked="0"/>
    </xf>
    <xf numFmtId="10" fontId="14" fillId="0" borderId="0" xfId="3" applyNumberFormat="1" applyFont="1" applyAlignment="1">
      <alignment horizontal="left" vertical="center" wrapText="1"/>
    </xf>
    <xf numFmtId="10" fontId="14" fillId="0" borderId="11" xfId="3" applyNumberFormat="1" applyFont="1" applyBorder="1" applyAlignment="1">
      <alignment horizontal="left" vertical="center" wrapText="1"/>
    </xf>
    <xf numFmtId="10" fontId="22" fillId="7" borderId="0" xfId="4" applyNumberFormat="1" applyFont="1" applyFill="1" applyBorder="1" applyAlignment="1" applyProtection="1">
      <alignment horizontal="right" vertical="center"/>
    </xf>
    <xf numFmtId="10" fontId="30" fillId="7" borderId="11" xfId="4" applyNumberFormat="1" applyFont="1" applyFill="1" applyBorder="1" applyAlignment="1" applyProtection="1">
      <alignment horizontal="left" vertical="center" wrapText="1"/>
    </xf>
    <xf numFmtId="49" fontId="17" fillId="5" borderId="0" xfId="4" applyNumberFormat="1" applyFont="1" applyFill="1" applyBorder="1" applyAlignment="1" applyProtection="1">
      <alignment horizontal="center" vertical="center"/>
    </xf>
    <xf numFmtId="0" fontId="14" fillId="0" borderId="0" xfId="3" applyFont="1" applyAlignment="1">
      <alignment horizontal="center" vertical="center"/>
    </xf>
    <xf numFmtId="0" fontId="9" fillId="2" borderId="0" xfId="3" applyFill="1" applyAlignment="1">
      <alignment horizontal="center"/>
    </xf>
    <xf numFmtId="49" fontId="17" fillId="5" borderId="11" xfId="4" applyNumberFormat="1" applyFont="1" applyFill="1" applyBorder="1" applyAlignment="1" applyProtection="1">
      <alignment horizontal="center" vertical="center"/>
      <protection locked="0"/>
    </xf>
    <xf numFmtId="0" fontId="16" fillId="7" borderId="11" xfId="3" applyFont="1" applyFill="1" applyBorder="1" applyAlignment="1">
      <alignment horizontal="center"/>
    </xf>
    <xf numFmtId="0" fontId="9" fillId="0" borderId="52" xfId="3" applyBorder="1" applyAlignment="1">
      <alignment horizontal="center"/>
    </xf>
    <xf numFmtId="0" fontId="16" fillId="7" borderId="13" xfId="3" applyFont="1" applyFill="1" applyBorder="1" applyAlignment="1">
      <alignment horizontal="center"/>
    </xf>
    <xf numFmtId="49" fontId="17" fillId="5" borderId="53" xfId="4" applyNumberFormat="1" applyFont="1" applyFill="1" applyBorder="1" applyAlignment="1" applyProtection="1">
      <alignment horizontal="center" vertical="center"/>
      <protection locked="0"/>
    </xf>
    <xf numFmtId="49" fontId="31" fillId="5" borderId="50" xfId="4" applyNumberFormat="1" applyFont="1" applyFill="1" applyBorder="1" applyAlignment="1" applyProtection="1">
      <alignment horizontal="center" vertical="center"/>
      <protection locked="0"/>
    </xf>
    <xf numFmtId="0" fontId="19" fillId="0" borderId="58" xfId="3" applyFont="1" applyBorder="1" applyAlignment="1">
      <alignment horizontal="center"/>
    </xf>
    <xf numFmtId="0" fontId="32" fillId="0" borderId="0" xfId="3" applyFont="1" applyAlignment="1">
      <alignment horizontal="center"/>
    </xf>
    <xf numFmtId="0" fontId="32" fillId="0" borderId="0" xfId="3" applyFont="1" applyAlignment="1">
      <alignment horizontal="left"/>
    </xf>
    <xf numFmtId="0" fontId="24" fillId="2" borderId="35" xfId="0" applyFont="1" applyFill="1" applyBorder="1" applyAlignment="1">
      <alignment horizontal="center"/>
    </xf>
    <xf numFmtId="0" fontId="24" fillId="2" borderId="36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17" fillId="5" borderId="50" xfId="4" applyNumberFormat="1" applyFont="1" applyFill="1" applyBorder="1" applyAlignment="1" applyProtection="1">
      <alignment horizontal="left" vertical="center"/>
      <protection locked="0"/>
    </xf>
    <xf numFmtId="49" fontId="17" fillId="5" borderId="51" xfId="4" applyNumberFormat="1" applyFont="1" applyFill="1" applyBorder="1" applyAlignment="1" applyProtection="1">
      <alignment horizontal="left" vertical="center"/>
      <protection locked="0"/>
    </xf>
    <xf numFmtId="0" fontId="16" fillId="7" borderId="14" xfId="3" applyFont="1" applyFill="1" applyBorder="1" applyAlignment="1">
      <alignment horizontal="left"/>
    </xf>
    <xf numFmtId="0" fontId="16" fillId="7" borderId="13" xfId="3" applyFont="1" applyFill="1" applyBorder="1" applyAlignment="1">
      <alignment horizontal="left"/>
    </xf>
    <xf numFmtId="0" fontId="19" fillId="0" borderId="0" xfId="3" applyFont="1" applyAlignment="1">
      <alignment horizontal="center"/>
    </xf>
    <xf numFmtId="0" fontId="16" fillId="7" borderId="13" xfId="3" applyFont="1" applyFill="1" applyBorder="1" applyAlignment="1">
      <alignment horizontal="center" wrapText="1"/>
    </xf>
    <xf numFmtId="10" fontId="10" fillId="5" borderId="0" xfId="3" applyNumberFormat="1" applyFont="1" applyFill="1" applyAlignment="1">
      <alignment horizontal="center"/>
    </xf>
    <xf numFmtId="10" fontId="10" fillId="5" borderId="40" xfId="3" applyNumberFormat="1" applyFont="1" applyFill="1" applyBorder="1" applyAlignment="1">
      <alignment horizontal="center" vertical="center"/>
    </xf>
    <xf numFmtId="10" fontId="10" fillId="5" borderId="41" xfId="3" applyNumberFormat="1" applyFont="1" applyFill="1" applyBorder="1" applyAlignment="1">
      <alignment horizontal="center" vertical="center"/>
    </xf>
    <xf numFmtId="10" fontId="30" fillId="7" borderId="0" xfId="4" applyNumberFormat="1" applyFont="1" applyFill="1" applyBorder="1" applyAlignment="1" applyProtection="1">
      <alignment horizontal="left" vertical="center" wrapText="1"/>
    </xf>
    <xf numFmtId="10" fontId="30" fillId="7" borderId="11" xfId="4" applyNumberFormat="1" applyFont="1" applyFill="1" applyBorder="1" applyAlignment="1" applyProtection="1">
      <alignment horizontal="left" vertical="center" wrapText="1"/>
    </xf>
    <xf numFmtId="10" fontId="14" fillId="0" borderId="0" xfId="3" applyNumberFormat="1" applyFont="1" applyAlignment="1">
      <alignment horizontal="left" vertical="center" wrapText="1"/>
    </xf>
    <xf numFmtId="0" fontId="15" fillId="7" borderId="1" xfId="3" applyFont="1" applyFill="1" applyBorder="1" applyAlignment="1">
      <alignment horizontal="left" vertical="center"/>
    </xf>
    <xf numFmtId="0" fontId="15" fillId="7" borderId="0" xfId="3" applyFont="1" applyFill="1" applyAlignment="1">
      <alignment horizontal="left" vertical="center"/>
    </xf>
    <xf numFmtId="0" fontId="13" fillId="0" borderId="4" xfId="3" applyFont="1" applyBorder="1" applyAlignment="1">
      <alignment horizontal="left" vertical="top" wrapText="1"/>
    </xf>
    <xf numFmtId="0" fontId="13" fillId="0" borderId="7" xfId="3" applyFont="1" applyBorder="1" applyAlignment="1">
      <alignment horizontal="left" vertical="top" wrapText="1"/>
    </xf>
    <xf numFmtId="0" fontId="13" fillId="0" borderId="5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21" fillId="7" borderId="59" xfId="3" applyFont="1" applyFill="1" applyBorder="1" applyAlignment="1">
      <alignment horizontal="center"/>
    </xf>
    <xf numFmtId="0" fontId="21" fillId="7" borderId="60" xfId="3" applyFont="1" applyFill="1" applyBorder="1" applyAlignment="1">
      <alignment horizontal="center"/>
    </xf>
    <xf numFmtId="0" fontId="21" fillId="7" borderId="61" xfId="3" applyFont="1" applyFill="1" applyBorder="1" applyAlignment="1">
      <alignment horizontal="center"/>
    </xf>
    <xf numFmtId="10" fontId="10" fillId="5" borderId="50" xfId="3" applyNumberFormat="1" applyFont="1" applyFill="1" applyBorder="1" applyAlignment="1" applyProtection="1">
      <alignment horizontal="center"/>
      <protection locked="0"/>
    </xf>
    <xf numFmtId="10" fontId="10" fillId="5" borderId="51" xfId="3" applyNumberFormat="1" applyFont="1" applyFill="1" applyBorder="1" applyAlignment="1" applyProtection="1">
      <alignment horizontal="center"/>
      <protection locked="0"/>
    </xf>
    <xf numFmtId="10" fontId="10" fillId="5" borderId="54" xfId="3" applyNumberFormat="1" applyFont="1" applyFill="1" applyBorder="1" applyAlignment="1" applyProtection="1">
      <alignment horizontal="center"/>
      <protection locked="0"/>
    </xf>
    <xf numFmtId="10" fontId="10" fillId="5" borderId="55" xfId="3" applyNumberFormat="1" applyFont="1" applyFill="1" applyBorder="1" applyAlignment="1" applyProtection="1">
      <alignment horizontal="center"/>
      <protection locked="0"/>
    </xf>
    <xf numFmtId="10" fontId="10" fillId="5" borderId="56" xfId="3" applyNumberFormat="1" applyFont="1" applyFill="1" applyBorder="1" applyAlignment="1" applyProtection="1">
      <alignment horizontal="center"/>
      <protection locked="0"/>
    </xf>
    <xf numFmtId="10" fontId="10" fillId="5" borderId="57" xfId="3" applyNumberFormat="1" applyFont="1" applyFill="1" applyBorder="1" applyAlignment="1" applyProtection="1">
      <alignment horizontal="center"/>
      <protection locked="0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6">
    <cellStyle name="Comma" xfId="1" builtinId="3"/>
    <cellStyle name="Comma 2" xfId="5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checked="Checked" firstButton="1" fmlaLink="$T$2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2902622</xdr:colOff>
      <xdr:row>30</xdr:row>
      <xdr:rowOff>351976</xdr:rowOff>
    </xdr:from>
    <xdr:ext cx="1115770" cy="397698"/>
    <xdr:pic>
      <xdr:nvPicPr>
        <xdr:cNvPr id="2" name="Picture 2" descr="logo b&amp;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97722" y="9305476"/>
          <a:ext cx="1115770" cy="397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279400</xdr:colOff>
          <xdr:row>33</xdr:row>
          <xdr:rowOff>63500</xdr:rowOff>
        </xdr:from>
        <xdr:to>
          <xdr:col>8</xdr:col>
          <xdr:colOff>12700</xdr:colOff>
          <xdr:row>35</xdr:row>
          <xdr:rowOff>139700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35</xdr:row>
          <xdr:rowOff>241300</xdr:rowOff>
        </xdr:from>
        <xdr:to>
          <xdr:col>8</xdr:col>
          <xdr:colOff>6350</xdr:colOff>
          <xdr:row>37</xdr:row>
          <xdr:rowOff>31750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38</xdr:row>
          <xdr:rowOff>25400</xdr:rowOff>
        </xdr:from>
        <xdr:to>
          <xdr:col>5</xdr:col>
          <xdr:colOff>685800</xdr:colOff>
          <xdr:row>39</xdr:row>
          <xdr:rowOff>127000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M35"/>
  <sheetViews>
    <sheetView showGridLines="0" tabSelected="1" zoomScale="120" zoomScaleNormal="120" workbookViewId="0">
      <selection activeCell="C5" sqref="C5"/>
    </sheetView>
  </sheetViews>
  <sheetFormatPr defaultRowHeight="24.95" customHeight="1"/>
  <cols>
    <col min="1" max="1" width="12.42578125" customWidth="1"/>
    <col min="2" max="2" width="24.5703125" customWidth="1"/>
    <col min="3" max="3" width="19.140625" customWidth="1"/>
    <col min="4" max="4" width="30.140625" bestFit="1" customWidth="1"/>
    <col min="5" max="5" width="19.140625" style="7" customWidth="1"/>
    <col min="6" max="6" width="17" customWidth="1"/>
    <col min="8" max="8" width="16.5703125" customWidth="1"/>
    <col min="9" max="9" width="22.5703125" customWidth="1"/>
    <col min="10" max="10" width="16.5703125" customWidth="1"/>
    <col min="11" max="11" width="9.5703125" customWidth="1"/>
    <col min="13" max="13" width="14.140625" hidden="1" customWidth="1"/>
  </cols>
  <sheetData>
    <row r="1" spans="1:13" ht="30.6" customHeight="1" thickTop="1" thickBot="1">
      <c r="A1" s="168" t="s">
        <v>0</v>
      </c>
      <c r="B1" s="169"/>
      <c r="C1" s="169"/>
      <c r="D1" s="169"/>
      <c r="E1" s="169"/>
      <c r="F1" s="170"/>
    </row>
    <row r="2" spans="1:13" ht="15.6" thickTop="1" thickBot="1">
      <c r="A2" s="52"/>
      <c r="E2" s="51"/>
      <c r="F2" s="53"/>
    </row>
    <row r="3" spans="1:13" ht="23.1" thickBot="1">
      <c r="A3" s="52"/>
      <c r="C3" s="171" t="s">
        <v>1</v>
      </c>
      <c r="D3" s="172"/>
      <c r="E3" s="51"/>
      <c r="F3" s="53"/>
      <c r="M3" s="15" t="s">
        <v>2</v>
      </c>
    </row>
    <row r="4" spans="1:13" ht="24.95" customHeight="1" thickBot="1">
      <c r="A4" s="52"/>
      <c r="C4" s="113" t="s">
        <v>3</v>
      </c>
      <c r="D4" s="114" t="s">
        <v>4</v>
      </c>
      <c r="E4" s="51"/>
      <c r="F4" s="53"/>
      <c r="M4" s="13">
        <v>1</v>
      </c>
    </row>
    <row r="5" spans="1:13" ht="24.95" customHeight="1" thickTop="1" thickBot="1">
      <c r="A5" s="52"/>
      <c r="C5" s="127">
        <v>1000000</v>
      </c>
      <c r="D5" s="122">
        <v>0.1</v>
      </c>
      <c r="E5" s="51"/>
      <c r="F5" s="53"/>
      <c r="M5" s="13">
        <v>2</v>
      </c>
    </row>
    <row r="6" spans="1:13" ht="24.95" customHeight="1" thickTop="1" thickBot="1">
      <c r="A6" s="52"/>
      <c r="C6" s="118"/>
      <c r="D6" s="118"/>
      <c r="E6" s="51"/>
      <c r="F6" s="53"/>
      <c r="M6" s="13">
        <v>3</v>
      </c>
    </row>
    <row r="7" spans="1:13" ht="24.95" customHeight="1" thickBot="1">
      <c r="A7" s="52"/>
      <c r="C7" s="173" t="s">
        <v>5</v>
      </c>
      <c r="D7" s="174"/>
      <c r="E7" s="51"/>
      <c r="F7" s="53"/>
      <c r="M7" s="13">
        <v>4</v>
      </c>
    </row>
    <row r="8" spans="1:13" ht="24.95" customHeight="1" thickBot="1">
      <c r="A8" s="52"/>
      <c r="B8" s="98"/>
      <c r="C8" s="113" t="s">
        <v>6</v>
      </c>
      <c r="D8" s="114" t="s">
        <v>7</v>
      </c>
      <c r="E8" s="100" t="s">
        <v>8</v>
      </c>
      <c r="F8" s="53"/>
      <c r="M8" s="13">
        <v>5</v>
      </c>
    </row>
    <row r="9" spans="1:13" ht="24.95" customHeight="1" thickTop="1" thickBot="1">
      <c r="A9" s="52"/>
      <c r="B9" s="119" t="s">
        <v>9</v>
      </c>
      <c r="C9" s="125">
        <v>0</v>
      </c>
      <c r="D9" s="126">
        <v>0</v>
      </c>
      <c r="E9" s="117">
        <f>D9-C9</f>
        <v>0</v>
      </c>
      <c r="F9" s="53"/>
      <c r="M9" s="13">
        <v>6</v>
      </c>
    </row>
    <row r="10" spans="1:13" ht="24.95" customHeight="1" thickTop="1" thickBot="1">
      <c r="A10" s="52"/>
      <c r="B10" s="120" t="s">
        <v>10</v>
      </c>
      <c r="C10" s="124">
        <v>0.1</v>
      </c>
      <c r="D10" s="122">
        <v>0.1</v>
      </c>
      <c r="E10" s="116">
        <f>D10-C10</f>
        <v>0</v>
      </c>
      <c r="F10" s="53"/>
      <c r="M10" s="13">
        <v>7</v>
      </c>
    </row>
    <row r="11" spans="1:13" ht="24.95" customHeight="1" thickTop="1" thickBot="1">
      <c r="A11" s="52"/>
      <c r="B11" s="121" t="s">
        <v>11</v>
      </c>
      <c r="C11" s="123">
        <v>1</v>
      </c>
      <c r="D11" s="123">
        <v>1</v>
      </c>
      <c r="E11" s="115">
        <f>D11-C11</f>
        <v>0</v>
      </c>
      <c r="F11" s="53"/>
      <c r="M11" s="13">
        <v>8</v>
      </c>
    </row>
    <row r="12" spans="1:13" ht="24.95" customHeight="1" thickBot="1">
      <c r="A12" s="52"/>
      <c r="E12" s="51"/>
      <c r="F12" s="53"/>
      <c r="M12" s="13">
        <v>9</v>
      </c>
    </row>
    <row r="13" spans="1:13" ht="24.95" customHeight="1" thickBot="1">
      <c r="A13" s="52"/>
      <c r="C13" s="171" t="s">
        <v>12</v>
      </c>
      <c r="D13" s="172"/>
      <c r="E13" s="51"/>
      <c r="F13" s="53"/>
      <c r="K13" s="6"/>
      <c r="M13" s="13">
        <v>10</v>
      </c>
    </row>
    <row r="14" spans="1:13" ht="24.95" customHeight="1" thickBot="1">
      <c r="A14" s="52"/>
      <c r="B14" s="98"/>
      <c r="C14" s="99" t="s">
        <v>6</v>
      </c>
      <c r="D14" s="100" t="s">
        <v>7</v>
      </c>
      <c r="E14" s="100" t="s">
        <v>8</v>
      </c>
      <c r="F14" s="53"/>
      <c r="K14" s="6"/>
    </row>
    <row r="15" spans="1:13" ht="24.95" customHeight="1" thickTop="1">
      <c r="A15" s="52"/>
      <c r="B15" s="60" t="s">
        <v>13</v>
      </c>
      <c r="C15" s="61">
        <f>'Scen Details'!G16</f>
        <v>0</v>
      </c>
      <c r="D15" s="61">
        <f>'Scen Details'!P16</f>
        <v>0</v>
      </c>
      <c r="E15" s="62">
        <f>D15-C15</f>
        <v>0</v>
      </c>
      <c r="F15" s="53"/>
      <c r="K15" s="6"/>
    </row>
    <row r="16" spans="1:13" ht="24.95" customHeight="1">
      <c r="A16" s="52"/>
      <c r="B16" s="57" t="s">
        <v>14</v>
      </c>
      <c r="C16" s="11">
        <f>'Scen Details'!G17</f>
        <v>0</v>
      </c>
      <c r="D16" s="11">
        <f>'Scen Details'!P17</f>
        <v>0</v>
      </c>
      <c r="E16" s="58">
        <f>D16-C16</f>
        <v>0</v>
      </c>
      <c r="F16" s="53"/>
      <c r="K16" s="6"/>
    </row>
    <row r="17" spans="1:13" ht="24.95" customHeight="1" thickBot="1">
      <c r="A17" s="52"/>
      <c r="B17" s="59" t="s">
        <v>15</v>
      </c>
      <c r="C17" s="63">
        <f>SUMIF('Scen Details'!$A$5:$A$14,'Earn Impact Capital'!C11,'Scen Details'!$C$5:$C$14)</f>
        <v>1000000</v>
      </c>
      <c r="D17" s="63">
        <f>SUMIF('Scen Details'!$A$5:$A$14,'Earn Impact Capital'!D11,'Scen Details'!$L$5:$L$14)</f>
        <v>1000000</v>
      </c>
      <c r="E17" s="64">
        <f>D17-C17</f>
        <v>0</v>
      </c>
      <c r="F17" s="53"/>
      <c r="K17" s="6"/>
    </row>
    <row r="18" spans="1:13" ht="24.95" customHeight="1" thickBot="1">
      <c r="A18" s="54"/>
      <c r="B18" s="55"/>
      <c r="C18" s="55"/>
      <c r="D18" s="55"/>
      <c r="E18" s="55"/>
      <c r="F18" s="56"/>
      <c r="K18" s="6"/>
    </row>
    <row r="19" spans="1:13" ht="24.95" customHeight="1" thickTop="1">
      <c r="K19" s="6"/>
    </row>
    <row r="20" spans="1:13" ht="24.95" customHeight="1">
      <c r="K20" s="6"/>
    </row>
    <row r="21" spans="1:13" ht="24.95" customHeight="1">
      <c r="K21" s="6"/>
    </row>
    <row r="22" spans="1:13" ht="24.95" customHeight="1">
      <c r="K22" s="6"/>
    </row>
    <row r="23" spans="1:13" ht="24.95" customHeight="1">
      <c r="K23" s="6"/>
    </row>
    <row r="24" spans="1:13" ht="24.95" customHeight="1" thickBot="1"/>
    <row r="25" spans="1:13" ht="24.95" customHeight="1" thickTop="1" thickBot="1">
      <c r="M25" s="10"/>
    </row>
    <row r="27" spans="1:13" ht="24.95" customHeight="1">
      <c r="I27" s="5"/>
    </row>
    <row r="28" spans="1:13" ht="24.95" customHeight="1">
      <c r="E28"/>
    </row>
    <row r="29" spans="1:13" ht="24.95" customHeight="1">
      <c r="E29"/>
    </row>
    <row r="30" spans="1:13" ht="24.95" customHeight="1">
      <c r="E30"/>
    </row>
    <row r="31" spans="1:13" ht="24.95" customHeight="1">
      <c r="E31"/>
    </row>
    <row r="32" spans="1:13" ht="24.95" customHeight="1">
      <c r="E32"/>
    </row>
    <row r="33" spans="5:5" ht="24.95" customHeight="1">
      <c r="E33"/>
    </row>
    <row r="34" spans="5:5" ht="24.95" customHeight="1">
      <c r="E34"/>
    </row>
    <row r="35" spans="5:5" ht="24.95" customHeight="1">
      <c r="E35"/>
    </row>
  </sheetData>
  <sheetProtection algorithmName="SHA-512" hashValue="Ooa5JDOMsroSGawPQZ/4WNVwanRfoLNuO54quE56sXx3Cyf8821EArZu+DMLdPxt7uYifP3JiTvtHJGETmsdfQ==" saltValue="+EgTa9c4gFU7JCbPRltw2Q==" spinCount="100000" sheet="1" objects="1" scenarios="1"/>
  <mergeCells count="4">
    <mergeCell ref="A1:F1"/>
    <mergeCell ref="C3:D3"/>
    <mergeCell ref="C7:D7"/>
    <mergeCell ref="C13:D13"/>
  </mergeCells>
  <dataValidations count="2">
    <dataValidation type="list" allowBlank="1" showInputMessage="1" showErrorMessage="1" sqref="C11" xr:uid="{00000000-0002-0000-0000-000000000000}">
      <formula1>M$4:M$13</formula1>
    </dataValidation>
    <dataValidation type="list" allowBlank="1" showInputMessage="1" showErrorMessage="1" sqref="D11" xr:uid="{00000000-0002-0000-0000-000001000000}">
      <formula1>M$4:M$13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>
    <tabColor theme="1"/>
    <pageSetUpPr fitToPage="1"/>
  </sheetPr>
  <dimension ref="C1:AI43"/>
  <sheetViews>
    <sheetView showGridLines="0" topLeftCell="A3" zoomScale="70" zoomScaleNormal="70" zoomScaleSheetLayoutView="70" workbookViewId="0">
      <selection activeCell="H3" sqref="H1:K1048576"/>
    </sheetView>
  </sheetViews>
  <sheetFormatPr defaultColWidth="9.140625" defaultRowHeight="20.100000000000001"/>
  <cols>
    <col min="1" max="1" width="7.140625" style="19" customWidth="1"/>
    <col min="2" max="2" width="6.5703125" style="19" customWidth="1"/>
    <col min="3" max="3" width="35.42578125" style="19" customWidth="1"/>
    <col min="4" max="4" width="31.140625" style="19" customWidth="1"/>
    <col min="5" max="5" width="24.5703125" style="19" customWidth="1"/>
    <col min="6" max="6" width="10.42578125" style="19" customWidth="1"/>
    <col min="7" max="7" width="1.5703125" style="19" customWidth="1"/>
    <col min="8" max="8" width="17.140625" style="19" customWidth="1"/>
    <col min="9" max="9" width="10.42578125" style="19" customWidth="1"/>
    <col min="10" max="10" width="1.5703125" style="19" customWidth="1"/>
    <col min="11" max="11" width="23" style="19" customWidth="1"/>
    <col min="12" max="12" width="12.42578125" style="19" customWidth="1"/>
    <col min="13" max="13" width="18.85546875" style="19" customWidth="1"/>
    <col min="14" max="14" width="2.85546875" style="19" customWidth="1"/>
    <col min="15" max="15" width="56.85546875" style="19" customWidth="1"/>
    <col min="16" max="16" width="1.140625" style="19" customWidth="1"/>
    <col min="17" max="17" width="11.85546875" style="19" customWidth="1"/>
    <col min="18" max="18" width="11.85546875" style="19" hidden="1" customWidth="1"/>
    <col min="19" max="19" width="13.5703125" style="19" hidden="1" customWidth="1"/>
    <col min="20" max="20" width="17.140625" style="19" hidden="1" customWidth="1"/>
    <col min="21" max="21" width="9.140625" style="19" hidden="1" customWidth="1"/>
    <col min="22" max="22" width="9.140625" style="19" customWidth="1"/>
    <col min="23" max="23" width="40.5703125" style="21" hidden="1" customWidth="1"/>
    <col min="24" max="24" width="13.5703125" style="20" hidden="1" customWidth="1"/>
    <col min="25" max="25" width="9.140625" style="19" hidden="1" customWidth="1"/>
    <col min="26" max="26" width="14.140625" style="19" hidden="1" customWidth="1"/>
    <col min="27" max="28" width="9.85546875" style="19" hidden="1" customWidth="1"/>
    <col min="29" max="29" width="9.140625" style="19" hidden="1" customWidth="1"/>
    <col min="30" max="30" width="9.85546875" style="19" hidden="1" customWidth="1"/>
    <col min="31" max="32" width="9.140625" style="19" hidden="1" customWidth="1"/>
    <col min="33" max="33" width="9.140625" style="19" collapsed="1"/>
    <col min="34" max="16384" width="9.140625" style="19"/>
  </cols>
  <sheetData>
    <row r="1" spans="3:35" ht="3" hidden="1" customHeight="1"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S1" s="19" t="s">
        <v>16</v>
      </c>
      <c r="T1" s="20" t="s">
        <v>17</v>
      </c>
    </row>
    <row r="2" spans="3:35" ht="13.5" hidden="1" customHeight="1"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S2" s="48">
        <f>D19-D17</f>
        <v>0</v>
      </c>
      <c r="T2" s="48">
        <f>(D17+D19)/2</f>
        <v>0</v>
      </c>
    </row>
    <row r="3" spans="3:35" ht="13.5" customHeight="1" thickBot="1"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S3" s="48"/>
      <c r="T3" s="48"/>
    </row>
    <row r="4" spans="3:35" ht="33.950000000000003" thickBot="1">
      <c r="C4" s="194" t="s">
        <v>18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6"/>
      <c r="S4" s="19" t="s">
        <v>19</v>
      </c>
      <c r="T4" s="19" t="s">
        <v>20</v>
      </c>
      <c r="U4" s="19" t="s">
        <v>21</v>
      </c>
    </row>
    <row r="5" spans="3:35" ht="6" hidden="1" customHeight="1">
      <c r="C5" s="47"/>
      <c r="D5" s="46"/>
      <c r="O5" s="45"/>
      <c r="P5" s="45"/>
    </row>
    <row r="6" spans="3:35" s="22" customFormat="1" ht="24.95" customHeight="1" thickTop="1" thickBot="1">
      <c r="C6" s="165" t="s">
        <v>22</v>
      </c>
      <c r="D6" s="44" t="s">
        <v>23</v>
      </c>
      <c r="E6" s="179" t="s">
        <v>24</v>
      </c>
      <c r="F6" s="179"/>
      <c r="G6" s="111"/>
      <c r="H6" s="111"/>
      <c r="I6" s="111"/>
      <c r="J6" s="111"/>
      <c r="K6" s="111"/>
      <c r="L6" s="111"/>
      <c r="M6" s="111"/>
      <c r="N6" s="111"/>
      <c r="O6" s="111" t="s">
        <v>25</v>
      </c>
      <c r="P6" s="43"/>
      <c r="Q6" s="19"/>
      <c r="R6" s="19"/>
      <c r="S6" s="19" t="s">
        <v>26</v>
      </c>
      <c r="T6" s="19" t="s">
        <v>27</v>
      </c>
      <c r="U6" s="19" t="s">
        <v>28</v>
      </c>
      <c r="V6" s="19"/>
      <c r="Y6" s="19"/>
      <c r="Z6" s="19"/>
    </row>
    <row r="7" spans="3:35" ht="24.95" customHeight="1" thickTop="1" thickBot="1">
      <c r="C7" s="131">
        <f>'Earn Impact Capital'!C5</f>
        <v>1000000</v>
      </c>
      <c r="D7" s="132">
        <f>'Earn Impact Capital'!C5*'Earn Impact Capital'!D5</f>
        <v>100000</v>
      </c>
      <c r="E7" s="128">
        <v>0.06</v>
      </c>
      <c r="F7" s="129"/>
      <c r="G7" s="133"/>
      <c r="H7" s="133"/>
      <c r="I7" s="133"/>
      <c r="J7" s="133"/>
      <c r="K7" s="133"/>
      <c r="L7" s="133"/>
      <c r="M7" s="133"/>
      <c r="N7" s="133"/>
      <c r="O7" s="164" t="s">
        <v>29</v>
      </c>
      <c r="P7" s="163"/>
      <c r="S7" s="19" t="s">
        <v>30</v>
      </c>
      <c r="T7" s="19" t="s">
        <v>31</v>
      </c>
      <c r="U7" s="19" t="s">
        <v>32</v>
      </c>
    </row>
    <row r="8" spans="3:35" ht="16.5" customHeight="1" thickTop="1" thickBot="1">
      <c r="C8" s="42"/>
      <c r="D8" s="40"/>
      <c r="E8" s="41"/>
      <c r="F8" s="40"/>
      <c r="G8" s="40"/>
      <c r="H8" s="40"/>
      <c r="I8" s="40"/>
      <c r="J8" s="40"/>
      <c r="K8" s="40"/>
      <c r="L8" s="40"/>
      <c r="M8" s="40"/>
      <c r="N8" s="40"/>
      <c r="O8" s="161"/>
      <c r="P8" s="39"/>
      <c r="T8" s="19" t="s">
        <v>33</v>
      </c>
      <c r="U8" s="19" t="s">
        <v>34</v>
      </c>
    </row>
    <row r="9" spans="3:35" s="22" customFormat="1" ht="40.5" thickBot="1">
      <c r="C9" s="177" t="s">
        <v>35</v>
      </c>
      <c r="D9" s="178"/>
      <c r="E9" s="180" t="s">
        <v>36</v>
      </c>
      <c r="F9" s="180"/>
      <c r="G9" s="112"/>
      <c r="H9" s="180" t="s">
        <v>37</v>
      </c>
      <c r="I9" s="180"/>
      <c r="J9" s="112"/>
      <c r="K9" s="112" t="s">
        <v>38</v>
      </c>
      <c r="L9" s="162" t="s">
        <v>19</v>
      </c>
      <c r="M9" s="112" t="s">
        <v>39</v>
      </c>
      <c r="N9" s="112"/>
      <c r="O9" s="38" t="s">
        <v>40</v>
      </c>
      <c r="P9" s="160"/>
      <c r="Q9" s="19"/>
      <c r="R9" s="19"/>
      <c r="S9" s="19"/>
      <c r="T9" s="19"/>
      <c r="U9" s="19" t="s">
        <v>41</v>
      </c>
      <c r="V9" s="19"/>
      <c r="W9" s="86"/>
      <c r="X9" s="87" t="s">
        <v>42</v>
      </c>
      <c r="Y9" s="87" t="s">
        <v>43</v>
      </c>
      <c r="Z9" s="87"/>
      <c r="AA9" s="87" t="s">
        <v>26</v>
      </c>
      <c r="AB9" s="87" t="s">
        <v>43</v>
      </c>
      <c r="AC9" s="87"/>
      <c r="AD9" s="87" t="s">
        <v>30</v>
      </c>
      <c r="AE9" s="87" t="s">
        <v>43</v>
      </c>
      <c r="AF9" s="87"/>
    </row>
    <row r="10" spans="3:35" s="22" customFormat="1" ht="12" customHeight="1" thickTop="1" thickBot="1">
      <c r="C10" s="138"/>
      <c r="D10" s="139"/>
      <c r="E10" s="135"/>
      <c r="F10" s="136"/>
      <c r="G10" s="136"/>
      <c r="H10" s="135"/>
      <c r="I10" s="136"/>
      <c r="J10" s="136"/>
      <c r="K10" s="137"/>
      <c r="L10" s="37"/>
      <c r="M10" s="135"/>
      <c r="N10" s="135"/>
      <c r="O10" s="156"/>
      <c r="P10" s="134"/>
      <c r="Q10" s="19"/>
      <c r="R10" s="19"/>
      <c r="S10" s="19"/>
      <c r="T10" s="19"/>
      <c r="U10" s="19"/>
      <c r="V10" s="19"/>
      <c r="W10" s="21"/>
      <c r="X10" s="85"/>
      <c r="AA10" s="85"/>
      <c r="AD10" s="85"/>
    </row>
    <row r="11" spans="3:35" s="22" customFormat="1" ht="24.6" customHeight="1" thickTop="1" thickBot="1">
      <c r="C11" s="175" t="s">
        <v>44</v>
      </c>
      <c r="D11" s="176"/>
      <c r="E11" s="181">
        <f t="shared" ref="E11:E20" si="0">IF(M11="Yes",H11*K11,0)</f>
        <v>1.4999999999999999E-2</v>
      </c>
      <c r="F11" s="181"/>
      <c r="G11" s="136"/>
      <c r="H11" s="197">
        <v>1.4999999999999999E-2</v>
      </c>
      <c r="I11" s="198"/>
      <c r="J11" s="136"/>
      <c r="K11" s="146">
        <v>1</v>
      </c>
      <c r="L11" s="147" t="s">
        <v>26</v>
      </c>
      <c r="M11" s="136" t="str">
        <f t="shared" ref="M11:M20" si="1">IF($T$24="Yes","Yes",IF($T$26="Yes",Z11,IF(AND($T$28="Yes",OR(AC11="Yes",AF11="Yes")),"Yes","No")))</f>
        <v>Yes</v>
      </c>
      <c r="N11" s="135"/>
      <c r="O11" s="147" t="s">
        <v>29</v>
      </c>
      <c r="P11" s="159"/>
      <c r="Q11" s="19"/>
      <c r="R11" s="19"/>
      <c r="S11" s="19" t="str">
        <f t="shared" ref="S11:S17" si="2">IF(M11="Yes",L11,"")</f>
        <v>Risk</v>
      </c>
      <c r="T11" s="19"/>
      <c r="U11" s="19" t="s">
        <v>45</v>
      </c>
      <c r="V11" s="19"/>
      <c r="W11" s="94" t="str">
        <f t="shared" ref="W11:W17" si="3">C11</f>
        <v>Interest Rate Risk</v>
      </c>
      <c r="X11" s="95">
        <f t="shared" ref="X11:X17" si="4">H11*K11</f>
        <v>1.4999999999999999E-2</v>
      </c>
      <c r="Y11" s="96">
        <f t="shared" ref="Y11:Y20" si="5">RANK(X11,$X$11:$X$20)</f>
        <v>1</v>
      </c>
      <c r="Z11" s="96" t="str">
        <f t="shared" ref="Z11:Z20" si="6">IF(Y11&lt;=$D$37,"Yes","No")</f>
        <v>Yes</v>
      </c>
      <c r="AA11" s="95">
        <f t="shared" ref="AA11:AA17" si="7">IF(L11="Risk",K11*H11,0)</f>
        <v>1.4999999999999999E-2</v>
      </c>
      <c r="AB11" s="96">
        <f t="shared" ref="AB11:AB20" si="8">RANK(AA11,AA$11:AA$20)</f>
        <v>1</v>
      </c>
      <c r="AC11" s="96" t="str">
        <f t="shared" ref="AC11:AC20" si="9">IF(AB11&lt;=$D$39,"Yes","No")</f>
        <v>Yes</v>
      </c>
      <c r="AD11" s="95">
        <f t="shared" ref="AD11:AD17" si="10">IF(L11="Risk",0,K11*H11)</f>
        <v>0</v>
      </c>
      <c r="AE11" s="96">
        <f t="shared" ref="AE11:AE20" si="11">RANK(AD11,AD$11:AD$20)</f>
        <v>5</v>
      </c>
      <c r="AF11" s="97" t="str">
        <f t="shared" ref="AF11:AF20" si="12">IF(AE11&lt;=$D$40,"Yes","No")</f>
        <v>No</v>
      </c>
    </row>
    <row r="12" spans="3:35" s="22" customFormat="1" ht="24.6" customHeight="1" thickTop="1" thickBot="1">
      <c r="C12" s="175" t="s">
        <v>46</v>
      </c>
      <c r="D12" s="176"/>
      <c r="E12" s="181">
        <f t="shared" si="0"/>
        <v>0.01</v>
      </c>
      <c r="F12" s="181"/>
      <c r="G12" s="136"/>
      <c r="H12" s="199">
        <v>0.01</v>
      </c>
      <c r="I12" s="200"/>
      <c r="J12" s="136"/>
      <c r="K12" s="146">
        <f>K11</f>
        <v>1</v>
      </c>
      <c r="L12" s="147" t="s">
        <v>26</v>
      </c>
      <c r="M12" s="136" t="str">
        <f t="shared" si="1"/>
        <v>Yes</v>
      </c>
      <c r="N12" s="135"/>
      <c r="O12" s="147" t="s">
        <v>29</v>
      </c>
      <c r="P12" s="159"/>
      <c r="Q12" s="19"/>
      <c r="R12" s="19"/>
      <c r="S12" s="19" t="str">
        <f t="shared" si="2"/>
        <v>Risk</v>
      </c>
      <c r="T12" s="19"/>
      <c r="U12" s="19" t="s">
        <v>47</v>
      </c>
      <c r="V12" s="19"/>
      <c r="W12" s="88" t="str">
        <f t="shared" si="3"/>
        <v>Additional Credit Risk</v>
      </c>
      <c r="X12" s="85">
        <f t="shared" si="4"/>
        <v>0.01</v>
      </c>
      <c r="Y12" s="22">
        <f t="shared" si="5"/>
        <v>2</v>
      </c>
      <c r="Z12" s="22" t="str">
        <f t="shared" si="6"/>
        <v>Yes</v>
      </c>
      <c r="AA12" s="85">
        <f t="shared" si="7"/>
        <v>0.01</v>
      </c>
      <c r="AB12" s="22">
        <f t="shared" si="8"/>
        <v>2</v>
      </c>
      <c r="AC12" s="22" t="str">
        <f t="shared" si="9"/>
        <v>Yes</v>
      </c>
      <c r="AD12" s="85">
        <f t="shared" si="10"/>
        <v>0</v>
      </c>
      <c r="AE12" s="22">
        <f t="shared" si="11"/>
        <v>5</v>
      </c>
      <c r="AF12" s="89" t="str">
        <f t="shared" si="12"/>
        <v>No</v>
      </c>
    </row>
    <row r="13" spans="3:35" s="22" customFormat="1" ht="24.6" customHeight="1" thickTop="1" thickBot="1">
      <c r="C13" s="175" t="s">
        <v>48</v>
      </c>
      <c r="D13" s="176"/>
      <c r="E13" s="181">
        <f t="shared" si="0"/>
        <v>2.5000000000000001E-3</v>
      </c>
      <c r="F13" s="181"/>
      <c r="G13" s="136"/>
      <c r="H13" s="197">
        <v>2.5000000000000001E-3</v>
      </c>
      <c r="I13" s="198"/>
      <c r="J13" s="136"/>
      <c r="K13" s="146">
        <f t="shared" ref="K13:K20" si="13">K12</f>
        <v>1</v>
      </c>
      <c r="L13" s="147" t="s">
        <v>26</v>
      </c>
      <c r="M13" s="136" t="str">
        <f t="shared" si="1"/>
        <v>Yes</v>
      </c>
      <c r="N13" s="135"/>
      <c r="O13" s="147" t="s">
        <v>29</v>
      </c>
      <c r="P13" s="159"/>
      <c r="Q13" s="19"/>
      <c r="R13" s="19"/>
      <c r="S13" s="19" t="str">
        <f t="shared" si="2"/>
        <v>Risk</v>
      </c>
      <c r="T13" s="19"/>
      <c r="U13" s="19" t="s">
        <v>49</v>
      </c>
      <c r="V13" s="19"/>
      <c r="W13" s="94" t="str">
        <f t="shared" si="3"/>
        <v>Regulatory Risk</v>
      </c>
      <c r="X13" s="95">
        <f t="shared" si="4"/>
        <v>2.5000000000000001E-3</v>
      </c>
      <c r="Y13" s="96">
        <f t="shared" si="5"/>
        <v>9</v>
      </c>
      <c r="Z13" s="96" t="str">
        <f t="shared" si="6"/>
        <v>No</v>
      </c>
      <c r="AA13" s="95">
        <f t="shared" si="7"/>
        <v>2.5000000000000001E-3</v>
      </c>
      <c r="AB13" s="96">
        <f t="shared" si="8"/>
        <v>5</v>
      </c>
      <c r="AC13" s="96" t="str">
        <f t="shared" si="9"/>
        <v>No</v>
      </c>
      <c r="AD13" s="95">
        <f t="shared" si="10"/>
        <v>0</v>
      </c>
      <c r="AE13" s="96">
        <f t="shared" si="11"/>
        <v>5</v>
      </c>
      <c r="AF13" s="97" t="str">
        <f t="shared" si="12"/>
        <v>No</v>
      </c>
    </row>
    <row r="14" spans="3:35" s="22" customFormat="1" ht="24.6" customHeight="1" thickTop="1" thickBot="1">
      <c r="C14" s="175" t="s">
        <v>50</v>
      </c>
      <c r="D14" s="176"/>
      <c r="E14" s="181">
        <f t="shared" si="0"/>
        <v>3.5000000000000001E-3</v>
      </c>
      <c r="F14" s="181"/>
      <c r="G14" s="136"/>
      <c r="H14" s="197">
        <v>3.5000000000000001E-3</v>
      </c>
      <c r="I14" s="198"/>
      <c r="J14" s="136"/>
      <c r="K14" s="146">
        <f t="shared" si="13"/>
        <v>1</v>
      </c>
      <c r="L14" s="147" t="s">
        <v>26</v>
      </c>
      <c r="M14" s="136" t="str">
        <f t="shared" si="1"/>
        <v>Yes</v>
      </c>
      <c r="N14" s="135"/>
      <c r="O14" s="147" t="s">
        <v>29</v>
      </c>
      <c r="P14" s="159"/>
      <c r="Q14" s="19"/>
      <c r="R14" s="19"/>
      <c r="S14" s="19" t="str">
        <f t="shared" si="2"/>
        <v>Risk</v>
      </c>
      <c r="T14" s="19"/>
      <c r="U14" s="19"/>
      <c r="V14" s="19"/>
      <c r="W14" s="88" t="str">
        <f t="shared" si="3"/>
        <v>CECL</v>
      </c>
      <c r="X14" s="85">
        <f t="shared" si="4"/>
        <v>3.5000000000000001E-3</v>
      </c>
      <c r="Y14" s="22">
        <f t="shared" si="5"/>
        <v>7</v>
      </c>
      <c r="Z14" s="22" t="str">
        <f t="shared" si="6"/>
        <v>No</v>
      </c>
      <c r="AA14" s="85">
        <f t="shared" si="7"/>
        <v>3.5000000000000001E-3</v>
      </c>
      <c r="AB14" s="22">
        <f t="shared" si="8"/>
        <v>3</v>
      </c>
      <c r="AC14" s="22" t="str">
        <f t="shared" si="9"/>
        <v>Yes</v>
      </c>
      <c r="AD14" s="85">
        <f t="shared" si="10"/>
        <v>0</v>
      </c>
      <c r="AE14" s="22">
        <f t="shared" si="11"/>
        <v>5</v>
      </c>
      <c r="AF14" s="89" t="str">
        <f t="shared" si="12"/>
        <v>No</v>
      </c>
    </row>
    <row r="15" spans="3:35" s="22" customFormat="1" ht="24.6" customHeight="1" thickTop="1" thickBot="1">
      <c r="C15" s="175" t="s">
        <v>51</v>
      </c>
      <c r="D15" s="176"/>
      <c r="E15" s="181">
        <f t="shared" si="0"/>
        <v>2E-3</v>
      </c>
      <c r="F15" s="181"/>
      <c r="G15" s="136"/>
      <c r="H15" s="199">
        <v>2E-3</v>
      </c>
      <c r="I15" s="200"/>
      <c r="J15" s="136"/>
      <c r="K15" s="146">
        <f t="shared" si="13"/>
        <v>1</v>
      </c>
      <c r="L15" s="147" t="s">
        <v>26</v>
      </c>
      <c r="M15" s="136" t="str">
        <f t="shared" si="1"/>
        <v>Yes</v>
      </c>
      <c r="N15" s="135"/>
      <c r="O15" s="147" t="s">
        <v>29</v>
      </c>
      <c r="P15" s="159"/>
      <c r="Q15" s="19"/>
      <c r="R15" s="19"/>
      <c r="S15" s="19" t="str">
        <f t="shared" si="2"/>
        <v>Risk</v>
      </c>
      <c r="T15" s="19"/>
      <c r="U15" s="19"/>
      <c r="V15" s="19"/>
      <c r="W15" s="94" t="str">
        <f t="shared" si="3"/>
        <v>Fraud</v>
      </c>
      <c r="X15" s="95">
        <f t="shared" si="4"/>
        <v>2E-3</v>
      </c>
      <c r="Y15" s="96">
        <f t="shared" si="5"/>
        <v>10</v>
      </c>
      <c r="Z15" s="96" t="str">
        <f t="shared" si="6"/>
        <v>No</v>
      </c>
      <c r="AA15" s="95">
        <f t="shared" si="7"/>
        <v>2E-3</v>
      </c>
      <c r="AB15" s="96">
        <f t="shared" si="8"/>
        <v>6</v>
      </c>
      <c r="AC15" s="96" t="str">
        <f t="shared" si="9"/>
        <v>No</v>
      </c>
      <c r="AD15" s="95">
        <f t="shared" si="10"/>
        <v>0</v>
      </c>
      <c r="AE15" s="96">
        <f t="shared" si="11"/>
        <v>5</v>
      </c>
      <c r="AF15" s="97" t="str">
        <f t="shared" si="12"/>
        <v>No</v>
      </c>
      <c r="AI15" s="22" t="s">
        <v>52</v>
      </c>
    </row>
    <row r="16" spans="3:35" s="22" customFormat="1" ht="24.6" customHeight="1" thickTop="1" thickBot="1">
      <c r="C16" s="175" t="s">
        <v>53</v>
      </c>
      <c r="D16" s="176"/>
      <c r="E16" s="181">
        <f t="shared" si="0"/>
        <v>3.0000000000000001E-3</v>
      </c>
      <c r="F16" s="181"/>
      <c r="G16" s="136"/>
      <c r="H16" s="197">
        <v>3.0000000000000001E-3</v>
      </c>
      <c r="I16" s="198"/>
      <c r="J16" s="136"/>
      <c r="K16" s="146">
        <f t="shared" si="13"/>
        <v>1</v>
      </c>
      <c r="L16" s="147" t="s">
        <v>26</v>
      </c>
      <c r="M16" s="136" t="str">
        <f t="shared" si="1"/>
        <v>Yes</v>
      </c>
      <c r="N16" s="135"/>
      <c r="O16" s="147" t="s">
        <v>29</v>
      </c>
      <c r="P16" s="159"/>
      <c r="Q16" s="19"/>
      <c r="R16" s="19"/>
      <c r="S16" s="19" t="str">
        <f t="shared" si="2"/>
        <v>Risk</v>
      </c>
      <c r="T16" s="19"/>
      <c r="U16" s="19"/>
      <c r="V16" s="19"/>
      <c r="W16" s="88" t="str">
        <f t="shared" si="3"/>
        <v>PR Disaster</v>
      </c>
      <c r="X16" s="85">
        <f t="shared" si="4"/>
        <v>3.0000000000000001E-3</v>
      </c>
      <c r="Y16" s="22">
        <f t="shared" si="5"/>
        <v>8</v>
      </c>
      <c r="Z16" s="22" t="str">
        <f t="shared" si="6"/>
        <v>No</v>
      </c>
      <c r="AA16" s="85">
        <f t="shared" si="7"/>
        <v>3.0000000000000001E-3</v>
      </c>
      <c r="AB16" s="22">
        <f t="shared" si="8"/>
        <v>4</v>
      </c>
      <c r="AC16" s="22" t="str">
        <f t="shared" si="9"/>
        <v>No</v>
      </c>
      <c r="AD16" s="85">
        <f t="shared" si="10"/>
        <v>0</v>
      </c>
      <c r="AE16" s="22">
        <f t="shared" si="11"/>
        <v>5</v>
      </c>
      <c r="AF16" s="89" t="str">
        <f t="shared" si="12"/>
        <v>No</v>
      </c>
    </row>
    <row r="17" spans="3:33" s="22" customFormat="1" ht="24.6" customHeight="1" thickTop="1" thickBot="1">
      <c r="C17" s="175" t="s">
        <v>54</v>
      </c>
      <c r="D17" s="176"/>
      <c r="E17" s="181">
        <f t="shared" si="0"/>
        <v>6.0000000000000001E-3</v>
      </c>
      <c r="F17" s="181"/>
      <c r="G17" s="136"/>
      <c r="H17" s="197">
        <v>6.0000000000000001E-3</v>
      </c>
      <c r="I17" s="198"/>
      <c r="J17" s="136"/>
      <c r="K17" s="146">
        <f t="shared" si="13"/>
        <v>1</v>
      </c>
      <c r="L17" s="147" t="s">
        <v>30</v>
      </c>
      <c r="M17" s="136" t="str">
        <f t="shared" si="1"/>
        <v>Yes</v>
      </c>
      <c r="N17" s="135"/>
      <c r="O17" s="147" t="s">
        <v>29</v>
      </c>
      <c r="P17" s="159"/>
      <c r="Q17" s="19"/>
      <c r="R17" s="19"/>
      <c r="S17" s="19" t="str">
        <f t="shared" si="2"/>
        <v>Opp</v>
      </c>
      <c r="T17" s="19"/>
      <c r="U17" s="19"/>
      <c r="V17" s="19"/>
      <c r="W17" s="94" t="str">
        <f t="shared" si="3"/>
        <v>Increased BI Investment</v>
      </c>
      <c r="X17" s="95">
        <f t="shared" si="4"/>
        <v>6.0000000000000001E-3</v>
      </c>
      <c r="Y17" s="96">
        <f t="shared" si="5"/>
        <v>3</v>
      </c>
      <c r="Z17" s="96" t="str">
        <f t="shared" si="6"/>
        <v>Yes</v>
      </c>
      <c r="AA17" s="95">
        <f t="shared" si="7"/>
        <v>0</v>
      </c>
      <c r="AB17" s="96">
        <f t="shared" si="8"/>
        <v>7</v>
      </c>
      <c r="AC17" s="96" t="str">
        <f t="shared" si="9"/>
        <v>No</v>
      </c>
      <c r="AD17" s="95">
        <f t="shared" si="10"/>
        <v>6.0000000000000001E-3</v>
      </c>
      <c r="AE17" s="96">
        <f t="shared" si="11"/>
        <v>1</v>
      </c>
      <c r="AF17" s="97" t="str">
        <f t="shared" si="12"/>
        <v>Yes</v>
      </c>
    </row>
    <row r="18" spans="3:33" s="22" customFormat="1" ht="24.6" customHeight="1" thickTop="1" thickBot="1">
      <c r="C18" s="175" t="s">
        <v>55</v>
      </c>
      <c r="D18" s="176"/>
      <c r="E18" s="181">
        <f t="shared" ref="E18" si="14">IF(M18="Yes",H18*K18,0)</f>
        <v>4.0000000000000001E-3</v>
      </c>
      <c r="F18" s="181"/>
      <c r="G18" s="136"/>
      <c r="H18" s="197">
        <v>4.0000000000000001E-3</v>
      </c>
      <c r="I18" s="198"/>
      <c r="J18" s="136"/>
      <c r="K18" s="146">
        <f t="shared" si="13"/>
        <v>1</v>
      </c>
      <c r="L18" s="147" t="s">
        <v>30</v>
      </c>
      <c r="M18" s="136" t="str">
        <f t="shared" si="1"/>
        <v>Yes</v>
      </c>
      <c r="N18" s="135"/>
      <c r="O18" s="147" t="s">
        <v>29</v>
      </c>
      <c r="P18" s="159"/>
      <c r="Q18" s="19"/>
      <c r="R18" s="19"/>
      <c r="S18" s="19" t="str">
        <f t="shared" ref="S18" si="15">IF(M18="Yes",L18,"")</f>
        <v>Opp</v>
      </c>
      <c r="T18" s="19"/>
      <c r="U18" s="19"/>
      <c r="V18" s="19"/>
      <c r="W18" s="88" t="str">
        <f t="shared" ref="W18" si="16">C18</f>
        <v>Automation and AI</v>
      </c>
      <c r="X18" s="85">
        <f t="shared" ref="X18" si="17">H18*K18</f>
        <v>4.0000000000000001E-3</v>
      </c>
      <c r="Y18" s="22">
        <f t="shared" si="5"/>
        <v>6</v>
      </c>
      <c r="Z18" s="22" t="str">
        <f t="shared" si="6"/>
        <v>No</v>
      </c>
      <c r="AA18" s="85">
        <f t="shared" ref="AA18" si="18">IF(L18="Risk",K18*H18,0)</f>
        <v>0</v>
      </c>
      <c r="AB18" s="22">
        <f t="shared" si="8"/>
        <v>7</v>
      </c>
      <c r="AC18" s="22" t="str">
        <f t="shared" si="9"/>
        <v>No</v>
      </c>
      <c r="AD18" s="85">
        <f t="shared" ref="AD18" si="19">IF(L18="Risk",0,K18*H18)</f>
        <v>4.0000000000000001E-3</v>
      </c>
      <c r="AE18" s="22">
        <f t="shared" si="11"/>
        <v>4</v>
      </c>
      <c r="AF18" s="89" t="str">
        <f t="shared" si="12"/>
        <v>No</v>
      </c>
      <c r="AG18" s="22" t="s">
        <v>52</v>
      </c>
    </row>
    <row r="19" spans="3:33" s="22" customFormat="1" ht="24.6" customHeight="1" thickTop="1" thickBot="1">
      <c r="C19" s="175" t="s">
        <v>56</v>
      </c>
      <c r="D19" s="176"/>
      <c r="E19" s="181">
        <f t="shared" si="0"/>
        <v>5.4999999999999997E-3</v>
      </c>
      <c r="F19" s="181"/>
      <c r="G19" s="136"/>
      <c r="H19" s="197">
        <v>5.4999999999999997E-3</v>
      </c>
      <c r="I19" s="198"/>
      <c r="J19" s="136"/>
      <c r="K19" s="146">
        <f t="shared" si="13"/>
        <v>1</v>
      </c>
      <c r="L19" s="147" t="s">
        <v>30</v>
      </c>
      <c r="M19" s="136" t="str">
        <f t="shared" si="1"/>
        <v>Yes</v>
      </c>
      <c r="N19" s="135"/>
      <c r="O19" s="147" t="s">
        <v>29</v>
      </c>
      <c r="P19" s="159"/>
      <c r="Q19" s="19"/>
      <c r="R19" s="19"/>
      <c r="S19" s="19" t="str">
        <f>IF(M19="Yes",L19,"")</f>
        <v>Opp</v>
      </c>
      <c r="T19" s="19"/>
      <c r="U19" s="19"/>
      <c r="V19" s="19"/>
      <c r="W19" s="94" t="str">
        <f>C19</f>
        <v>Merger/Acquisition</v>
      </c>
      <c r="X19" s="95">
        <f>H19*K19</f>
        <v>5.4999999999999997E-3</v>
      </c>
      <c r="Y19" s="96">
        <f t="shared" si="5"/>
        <v>4</v>
      </c>
      <c r="Z19" s="96" t="str">
        <f t="shared" si="6"/>
        <v>Yes</v>
      </c>
      <c r="AA19" s="95">
        <f>IF(L19="Risk",K19*H19,0)</f>
        <v>0</v>
      </c>
      <c r="AB19" s="96">
        <f t="shared" si="8"/>
        <v>7</v>
      </c>
      <c r="AC19" s="96" t="str">
        <f t="shared" si="9"/>
        <v>No</v>
      </c>
      <c r="AD19" s="95">
        <f>IF(L19="Risk",0,K19*H19)</f>
        <v>5.4999999999999997E-3</v>
      </c>
      <c r="AE19" s="96">
        <f t="shared" si="11"/>
        <v>2</v>
      </c>
      <c r="AF19" s="97" t="str">
        <f t="shared" si="12"/>
        <v>Yes</v>
      </c>
    </row>
    <row r="20" spans="3:33" s="22" customFormat="1" ht="24.6" customHeight="1" thickTop="1" thickBot="1">
      <c r="C20" s="175" t="s">
        <v>57</v>
      </c>
      <c r="D20" s="176"/>
      <c r="E20" s="181">
        <f t="shared" si="0"/>
        <v>5.0000000000000001E-3</v>
      </c>
      <c r="F20" s="181"/>
      <c r="G20" s="136"/>
      <c r="H20" s="201">
        <v>5.0000000000000001E-3</v>
      </c>
      <c r="I20" s="202"/>
      <c r="J20" s="136"/>
      <c r="K20" s="146">
        <f t="shared" si="13"/>
        <v>1</v>
      </c>
      <c r="L20" s="147" t="s">
        <v>30</v>
      </c>
      <c r="M20" s="136" t="str">
        <f t="shared" si="1"/>
        <v>Yes</v>
      </c>
      <c r="N20" s="135"/>
      <c r="O20" s="147" t="s">
        <v>29</v>
      </c>
      <c r="P20" s="159"/>
      <c r="Q20" s="19"/>
      <c r="R20" s="19"/>
      <c r="S20" s="19" t="str">
        <f>IF(M20="Yes",L20,"")</f>
        <v>Opp</v>
      </c>
      <c r="T20" s="19"/>
      <c r="U20" s="19"/>
      <c r="V20" s="19"/>
      <c r="W20" s="90" t="str">
        <f>C20</f>
        <v>Fast Deposit Growth</v>
      </c>
      <c r="X20" s="91">
        <f>H20*K20</f>
        <v>5.0000000000000001E-3</v>
      </c>
      <c r="Y20" s="92">
        <f t="shared" si="5"/>
        <v>5</v>
      </c>
      <c r="Z20" s="92" t="str">
        <f t="shared" si="6"/>
        <v>Yes</v>
      </c>
      <c r="AA20" s="91">
        <f>IF(L20="Risk",K20*H20,0)</f>
        <v>0</v>
      </c>
      <c r="AB20" s="92">
        <f t="shared" si="8"/>
        <v>7</v>
      </c>
      <c r="AC20" s="92" t="str">
        <f t="shared" si="9"/>
        <v>No</v>
      </c>
      <c r="AD20" s="91">
        <f>IF(L20="Risk",0,K20*H20)</f>
        <v>5.0000000000000001E-3</v>
      </c>
      <c r="AE20" s="92">
        <f t="shared" si="11"/>
        <v>3</v>
      </c>
      <c r="AF20" s="93" t="str">
        <f t="shared" si="12"/>
        <v>No</v>
      </c>
    </row>
    <row r="21" spans="3:33" s="22" customFormat="1" ht="12" customHeight="1" thickTop="1">
      <c r="C21" s="138"/>
      <c r="D21" s="139"/>
      <c r="E21" s="135"/>
      <c r="F21" s="136"/>
      <c r="G21" s="136"/>
      <c r="H21" s="135"/>
      <c r="I21" s="136"/>
      <c r="J21" s="136"/>
      <c r="K21" s="137"/>
      <c r="L21" s="37"/>
      <c r="M21" s="135"/>
      <c r="N21" s="135"/>
      <c r="O21" s="156"/>
      <c r="P21" s="134"/>
      <c r="Q21" s="19"/>
      <c r="R21" s="19"/>
      <c r="S21" s="19"/>
      <c r="T21" s="19"/>
      <c r="U21" s="19"/>
      <c r="V21" s="19"/>
      <c r="W21" s="21"/>
      <c r="X21" s="85"/>
      <c r="AA21" s="85"/>
      <c r="AD21" s="85"/>
    </row>
    <row r="22" spans="3:33" s="22" customFormat="1" ht="24.6" customHeight="1">
      <c r="C22" s="187" t="s">
        <v>58</v>
      </c>
      <c r="D22" s="188"/>
      <c r="E22" s="154">
        <f>SUMIF($L$11:$L$20,"Risk",$E$11:$E$20)</f>
        <v>3.6000000000000004E-2</v>
      </c>
      <c r="F22" s="184" t="str">
        <f>CONCATENATE("(",S25," Risks)")</f>
        <v>(6 Risks)</v>
      </c>
      <c r="G22" s="184"/>
      <c r="H22" s="184"/>
      <c r="I22" s="184"/>
      <c r="J22" s="184"/>
      <c r="K22" s="184"/>
      <c r="L22" s="184"/>
      <c r="M22" s="184"/>
      <c r="N22" s="184"/>
      <c r="O22" s="185"/>
      <c r="P22" s="155"/>
      <c r="Q22" s="19"/>
      <c r="R22" s="19"/>
      <c r="S22" s="19"/>
      <c r="T22" s="19"/>
      <c r="U22" s="19"/>
      <c r="V22" s="19"/>
      <c r="X22" s="27"/>
      <c r="Z22" s="19"/>
    </row>
    <row r="23" spans="3:33" s="22" customFormat="1" ht="24.6" customHeight="1" thickBot="1">
      <c r="C23" s="187" t="s">
        <v>59</v>
      </c>
      <c r="D23" s="188"/>
      <c r="E23" s="154">
        <f>SUMIF($L$11:$L$20,"Opp",$E$11:$E$20)</f>
        <v>2.0500000000000001E-2</v>
      </c>
      <c r="F23" s="184" t="str">
        <f>CONCATENATE("(",S26," Opportunities)")</f>
        <v>(4 Opportunities)</v>
      </c>
      <c r="G23" s="184"/>
      <c r="H23" s="184"/>
      <c r="I23" s="184"/>
      <c r="J23" s="184"/>
      <c r="K23" s="184"/>
      <c r="L23" s="184"/>
      <c r="M23" s="184"/>
      <c r="N23" s="184"/>
      <c r="O23" s="185"/>
      <c r="P23" s="155"/>
      <c r="Q23" s="19"/>
      <c r="R23" s="19"/>
      <c r="S23" s="19"/>
      <c r="T23" s="151">
        <v>1</v>
      </c>
      <c r="U23" s="19"/>
      <c r="V23" s="19"/>
      <c r="X23" s="27"/>
    </row>
    <row r="24" spans="3:33" s="36" customFormat="1" ht="85.35" customHeight="1" thickTop="1" thickBot="1">
      <c r="C24" s="187" t="s">
        <v>60</v>
      </c>
      <c r="D24" s="188"/>
      <c r="E24" s="154">
        <f>SUM(E11:E20)</f>
        <v>5.6499999999999995E-2</v>
      </c>
      <c r="F24" s="184" t="str">
        <f>IF(OR(AND(T26="Yes",(S25+S26)&gt;D37),AND(T28="Yes",(S25+S26)&gt;(D39+D40))),CONCATENATE("to Prepare for ",S24," strategic Items which exceeds the # of items requested due to a tie"),CONCATENATE("to Prepare for ",S24," Strategic Items (",S25," Risks + ",S26," Opportunities)"))</f>
        <v>to Prepare for 10 Strategic Items (6 Risks + 4 Opportunities)</v>
      </c>
      <c r="G24" s="184"/>
      <c r="H24" s="184"/>
      <c r="I24" s="184"/>
      <c r="J24" s="184"/>
      <c r="K24" s="184"/>
      <c r="L24" s="184"/>
      <c r="M24" s="184"/>
      <c r="N24" s="184"/>
      <c r="O24" s="185"/>
      <c r="P24" s="155"/>
      <c r="Q24" s="19"/>
      <c r="R24" s="19" t="s">
        <v>21</v>
      </c>
      <c r="S24" s="19">
        <f>SUM(S25:S26)</f>
        <v>10</v>
      </c>
      <c r="T24" s="140" t="str">
        <f>IF(T23=1,"Yes","No")</f>
        <v>Yes</v>
      </c>
      <c r="U24" s="19"/>
      <c r="V24" s="19"/>
      <c r="X24" s="20"/>
      <c r="Y24" s="31"/>
      <c r="Z24" s="31"/>
    </row>
    <row r="25" spans="3:33" s="22" customFormat="1" ht="63.6" customHeight="1" thickTop="1" thickBot="1">
      <c r="C25" s="192" t="s">
        <v>61</v>
      </c>
      <c r="D25" s="193"/>
      <c r="E25" s="35">
        <f>SUM(E24+E7)</f>
        <v>0.11649999999999999</v>
      </c>
      <c r="F25" s="186" t="s">
        <v>62</v>
      </c>
      <c r="G25" s="186"/>
      <c r="H25" s="186"/>
      <c r="I25" s="186"/>
      <c r="J25" s="186"/>
      <c r="K25" s="186"/>
      <c r="L25" s="186"/>
      <c r="M25" s="186"/>
      <c r="N25" s="186"/>
      <c r="O25" s="186"/>
      <c r="P25" s="153"/>
      <c r="R25" s="19" t="s">
        <v>26</v>
      </c>
      <c r="S25" s="19">
        <f>COUNTIF($S$11:$S$20,"Risk")</f>
        <v>6</v>
      </c>
      <c r="T25" s="19"/>
      <c r="X25" s="20"/>
      <c r="Y25" s="31"/>
      <c r="Z25" s="31"/>
    </row>
    <row r="26" spans="3:33" s="22" customFormat="1" ht="24.95" customHeight="1" thickTop="1" thickBot="1">
      <c r="C26" s="192" t="s">
        <v>63</v>
      </c>
      <c r="D26" s="193"/>
      <c r="E26" s="30">
        <f>D7/C7</f>
        <v>0.1</v>
      </c>
      <c r="F26" s="34"/>
      <c r="G26" s="34"/>
      <c r="H26" s="34"/>
      <c r="I26" s="34"/>
      <c r="J26" s="34"/>
      <c r="K26" s="34"/>
      <c r="L26" s="33"/>
      <c r="M26" s="33"/>
      <c r="N26" s="33"/>
      <c r="O26" s="33"/>
      <c r="P26" s="32"/>
      <c r="R26" s="19" t="s">
        <v>30</v>
      </c>
      <c r="S26" s="19">
        <f>COUNTIF($S$11:$S$20,"Opp")</f>
        <v>4</v>
      </c>
      <c r="T26" s="141" t="str">
        <f>IF(T23=2,"Yes","No")</f>
        <v>No</v>
      </c>
      <c r="X26" s="20"/>
      <c r="Y26" s="31"/>
      <c r="Z26" s="31"/>
    </row>
    <row r="27" spans="3:33" s="22" customFormat="1" ht="44.1" customHeight="1" thickTop="1" thickBot="1">
      <c r="C27" s="192" t="s">
        <v>8</v>
      </c>
      <c r="D27" s="193"/>
      <c r="E27" s="30">
        <f>E26-E25</f>
        <v>-1.6499999999999987E-2</v>
      </c>
      <c r="F27" s="186" t="str">
        <f>IF(E27&gt;0,"Strategic Cushion","Strategic Shortfall")</f>
        <v>Strategic Shortfall</v>
      </c>
      <c r="G27" s="186"/>
      <c r="H27" s="186"/>
      <c r="I27" s="186"/>
      <c r="J27" s="186"/>
      <c r="K27" s="186"/>
      <c r="L27" s="186"/>
      <c r="M27" s="152"/>
      <c r="N27" s="152"/>
      <c r="O27" s="157"/>
      <c r="P27" s="29"/>
      <c r="R27" s="19"/>
      <c r="S27" s="28"/>
      <c r="T27" s="19"/>
      <c r="X27" s="27"/>
    </row>
    <row r="28" spans="3:33" ht="11.25" customHeight="1" thickTop="1" thickBot="1">
      <c r="C28" s="26"/>
      <c r="D28" s="25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3"/>
      <c r="P28" s="158"/>
      <c r="T28" s="182" t="str">
        <f>IF(T23=3,"Yes","No")</f>
        <v>No</v>
      </c>
    </row>
    <row r="29" spans="3:33" ht="34.35" hidden="1" customHeight="1" thickBot="1">
      <c r="C29" s="189" t="str">
        <f>IF(T24="Yes",W35,IF(T26="Yes",W37,IF(T28="Yes",W39,"")))</f>
        <v>Agreements:  Net worth should be able to cover all of the identified major risks and opportunities.  If we are are making a positive ROA after the interest rate environment stress, we will not count on the positive earnings to offset potential strategic net worth needs.</v>
      </c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84"/>
      <c r="T29" s="183"/>
    </row>
    <row r="30" spans="3:33" ht="67.349999999999994" hidden="1" customHeight="1" thickBot="1">
      <c r="C30" s="189" t="s">
        <v>64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1"/>
      <c r="P30" s="84"/>
    </row>
    <row r="31" spans="3:33" ht="67.349999999999994" customHeight="1"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3:33" ht="20.45" thickBot="1"/>
    <row r="33" spans="3:25" ht="21.6" customHeight="1" thickBot="1">
      <c r="C33" s="75"/>
      <c r="D33" s="76" t="s">
        <v>65</v>
      </c>
      <c r="E33" s="76" t="s">
        <v>66</v>
      </c>
      <c r="F33" s="77" t="s">
        <v>67</v>
      </c>
      <c r="G33" s="77"/>
      <c r="W33" s="19"/>
      <c r="X33" s="21"/>
      <c r="Y33" s="20"/>
    </row>
    <row r="34" spans="3:25" ht="13.35" customHeight="1" thickTop="1">
      <c r="C34" s="73"/>
      <c r="D34" s="70"/>
      <c r="E34" s="70"/>
      <c r="F34" s="70"/>
      <c r="G34" s="109"/>
      <c r="J34" s="105"/>
      <c r="W34" s="19"/>
      <c r="X34" s="21"/>
      <c r="Y34" s="20"/>
    </row>
    <row r="35" spans="3:25">
      <c r="C35" s="81" t="s">
        <v>68</v>
      </c>
      <c r="D35" s="130"/>
      <c r="G35" s="142"/>
      <c r="J35" s="143"/>
      <c r="W35" s="50" t="s">
        <v>69</v>
      </c>
    </row>
    <row r="36" spans="3:25" ht="20.45" thickBot="1">
      <c r="C36" s="82" t="s">
        <v>70</v>
      </c>
      <c r="D36" s="78"/>
      <c r="G36" s="80"/>
      <c r="J36" s="106"/>
      <c r="W36" s="104">
        <f>IF(T24="Yes",1,0)</f>
        <v>1</v>
      </c>
    </row>
    <row r="37" spans="3:25" ht="41.1" thickTop="1" thickBot="1">
      <c r="C37" s="83" t="s">
        <v>71</v>
      </c>
      <c r="D37" s="148">
        <v>5</v>
      </c>
      <c r="E37" s="79">
        <f>SUM(E39:E40)</f>
        <v>10</v>
      </c>
      <c r="G37" s="144"/>
      <c r="H37" s="167" t="str">
        <f>IF(D37&gt;E37,"ERROR:  You can only select a maximum of "&amp;E37&amp;" item(s)","")</f>
        <v/>
      </c>
      <c r="J37" s="145"/>
      <c r="W37" s="50" t="str">
        <f>CONCATENATE("Agreements:  Net worth should be able to cover the largest ",D37," risks and opportunities occuring in conjunction.  If we are are making a positive ROA after the interest rate environment stress, we will not count on the positive earnings to offset potential strategic net worth needs.")</f>
        <v>Agreements:  Net worth should be able to cover the largest 5 risks and opportunities occuring in conjunction.  If we are are making a positive ROA after the interest rate environment stress, we will not count on the positive earnings to offset potential strategic net worth needs.</v>
      </c>
    </row>
    <row r="38" spans="3:25" ht="21" thickTop="1" thickBot="1">
      <c r="C38" s="82" t="s">
        <v>70</v>
      </c>
      <c r="D38" s="71"/>
      <c r="G38" s="80"/>
      <c r="H38" s="166"/>
      <c r="W38" s="104">
        <f>IF(T26="Yes",1,0)</f>
        <v>0</v>
      </c>
    </row>
    <row r="39" spans="3:25" ht="21" thickTop="1" thickBot="1">
      <c r="C39" s="81" t="s">
        <v>72</v>
      </c>
      <c r="D39" s="149">
        <v>3</v>
      </c>
      <c r="E39" s="22">
        <f>COUNTIF($L$11:$L$20,"Risk")</f>
        <v>6</v>
      </c>
      <c r="G39" s="144"/>
      <c r="H39" s="167" t="str">
        <f>IF(D39&gt;E39,"ERROR:  You can only select a maximum of "&amp;E39&amp;" item(s)","")</f>
        <v/>
      </c>
      <c r="W39" s="50" t="str">
        <f>CONCATENATE("Agreements:  Net worth should be able to cover the largest ",D39," risks occuring in conjunction with the ",D40," largest opportunities.  If we are are making a positive ROA after the interest rate environment stress, we will not count on the positive earnings to offset potential strategic net worth needs.")</f>
        <v>Agreements:  Net worth should be able to cover the largest 3 risks occuring in conjunction with the 2 largest opportunities.  If we are are making a positive ROA after the interest rate environment stress, we will not count on the positive earnings to offset potential strategic net worth needs.</v>
      </c>
    </row>
    <row r="40" spans="3:25" ht="21" thickTop="1" thickBot="1">
      <c r="C40" s="81" t="s">
        <v>73</v>
      </c>
      <c r="D40" s="150">
        <v>2</v>
      </c>
      <c r="E40" s="22">
        <f>COUNTIF($L$11:$L$20,"Opp")</f>
        <v>4</v>
      </c>
      <c r="G40" s="144"/>
      <c r="H40" s="167" t="str">
        <f>IF(D40&gt;E40,"ERROR:  You can only select a maximum of "&amp;E40&amp;" item(s)","")</f>
        <v/>
      </c>
      <c r="W40" s="104">
        <f>IF(T28="Yes",1,0)</f>
        <v>0</v>
      </c>
    </row>
    <row r="41" spans="3:25" ht="12.6" customHeight="1" thickTop="1" thickBot="1">
      <c r="C41" s="74"/>
      <c r="D41" s="72"/>
      <c r="E41" s="72"/>
      <c r="F41" s="72"/>
      <c r="G41" s="110"/>
    </row>
    <row r="42" spans="3:25">
      <c r="C42" s="107" t="s">
        <v>74</v>
      </c>
      <c r="D42" s="108"/>
      <c r="E42" s="108"/>
      <c r="F42" s="108"/>
      <c r="G42" s="108"/>
    </row>
    <row r="43" spans="3:25">
      <c r="C43" s="107" t="s">
        <v>75</v>
      </c>
    </row>
  </sheetData>
  <sheetProtection algorithmName="SHA-512" hashValue="moSJKHAFt0GFx/vqdZmU+eq6uNTKgYpBrG8RJFMs83b+GbZ5OpxbOqzVRzZbyp+cq1ct1Htz0Fommeb65nYj+g==" saltValue="UgTR7HgvrNb3Wv2qyHxMyw==" spinCount="100000" sheet="1" objects="1" scenarios="1"/>
  <mergeCells count="49">
    <mergeCell ref="H14:I14"/>
    <mergeCell ref="H15:I15"/>
    <mergeCell ref="H16:I16"/>
    <mergeCell ref="H17:I17"/>
    <mergeCell ref="H18:I18"/>
    <mergeCell ref="E18:F18"/>
    <mergeCell ref="E19:F19"/>
    <mergeCell ref="E20:F20"/>
    <mergeCell ref="H19:I19"/>
    <mergeCell ref="H20:I20"/>
    <mergeCell ref="C4:P4"/>
    <mergeCell ref="E11:F11"/>
    <mergeCell ref="E12:F12"/>
    <mergeCell ref="E13:F13"/>
    <mergeCell ref="H11:I11"/>
    <mergeCell ref="H12:I12"/>
    <mergeCell ref="H13:I13"/>
    <mergeCell ref="H9:I9"/>
    <mergeCell ref="C30:O30"/>
    <mergeCell ref="C29:O29"/>
    <mergeCell ref="C25:D25"/>
    <mergeCell ref="C26:D26"/>
    <mergeCell ref="C27:D27"/>
    <mergeCell ref="F25:O25"/>
    <mergeCell ref="T28:T29"/>
    <mergeCell ref="F24:O24"/>
    <mergeCell ref="F23:O23"/>
    <mergeCell ref="F22:O22"/>
    <mergeCell ref="C20:D20"/>
    <mergeCell ref="F27:L27"/>
    <mergeCell ref="C23:D23"/>
    <mergeCell ref="C22:D22"/>
    <mergeCell ref="C24:D24"/>
    <mergeCell ref="C19:D19"/>
    <mergeCell ref="C18:D18"/>
    <mergeCell ref="C11:D11"/>
    <mergeCell ref="C9:D9"/>
    <mergeCell ref="E6:F6"/>
    <mergeCell ref="E9:F9"/>
    <mergeCell ref="C12:D12"/>
    <mergeCell ref="C13:D13"/>
    <mergeCell ref="C14:D14"/>
    <mergeCell ref="C15:D15"/>
    <mergeCell ref="C16:D16"/>
    <mergeCell ref="C17:D17"/>
    <mergeCell ref="E14:F14"/>
    <mergeCell ref="E15:F15"/>
    <mergeCell ref="E16:F16"/>
    <mergeCell ref="E17:F17"/>
  </mergeCells>
  <conditionalFormatting sqref="F27:N27">
    <cfRule type="expression" dxfId="4" priority="1">
      <formula>$E$27&lt;0</formula>
    </cfRule>
  </conditionalFormatting>
  <dataValidations count="2">
    <dataValidation type="list" allowBlank="1" showInputMessage="1" showErrorMessage="1" sqref="J37 G39 T28 G37 T26 G35 T24 J35 N10:N21 M10 M21" xr:uid="{00000000-0002-0000-0100-000000000000}">
      <formula1>$T$6:$T$7</formula1>
    </dataValidation>
    <dataValidation type="list" allowBlank="1" showInputMessage="1" showErrorMessage="1" sqref="L10:L21" xr:uid="{00000000-0002-0000-0100-000001000000}">
      <formula1>$S$6:$S$8</formula1>
    </dataValidation>
  </dataValidations>
  <printOptions horizontalCentered="1"/>
  <pageMargins left="0.75" right="0.75" top="1" bottom="1" header="0.5" footer="0.5"/>
  <pageSetup orientation="landscape" horizontalDpi="4294967295" verticalDpi="4294967295" r:id="rId1"/>
  <headerFooter alignWithMargins="0">
    <oddFooter>&amp;L&amp;9Proprietary property of c. myers corporation&amp;R&amp;G
&amp;9This tool is designed by c. myers; actual input supplied by the credit union
8222 south 48th street  •  suite 275  •  phoenix, arizona 85044  •  800.238.7475  •  www.cmyers.com</oddFooter>
  </headerFooter>
  <ignoredErrors>
    <ignoredError sqref="E18:E20 E11:E17 C7:D7 K12:K20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5</xdr:col>
                    <xdr:colOff>279400</xdr:colOff>
                    <xdr:row>33</xdr:row>
                    <xdr:rowOff>63500</xdr:rowOff>
                  </from>
                  <to>
                    <xdr:col>8</xdr:col>
                    <xdr:colOff>12700</xdr:colOff>
                    <xdr:row>35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locked="0" defaultSize="0" autoFill="0" autoLine="0" autoPict="0">
                <anchor moveWithCells="1">
                  <from>
                    <xdr:col>5</xdr:col>
                    <xdr:colOff>260350</xdr:colOff>
                    <xdr:row>35</xdr:row>
                    <xdr:rowOff>241300</xdr:rowOff>
                  </from>
                  <to>
                    <xdr:col>8</xdr:col>
                    <xdr:colOff>6350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locked="0" defaultSize="0" autoFill="0" autoLine="0" autoPict="0">
                <anchor moveWithCells="1">
                  <from>
                    <xdr:col>5</xdr:col>
                    <xdr:colOff>260350</xdr:colOff>
                    <xdr:row>38</xdr:row>
                    <xdr:rowOff>25400</xdr:rowOff>
                  </from>
                  <to>
                    <xdr:col>5</xdr:col>
                    <xdr:colOff>685800</xdr:colOff>
                    <xdr:row>39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19"/>
  <sheetViews>
    <sheetView showGridLines="0" zoomScaleNormal="100" workbookViewId="0">
      <selection activeCell="H28" sqref="H28"/>
    </sheetView>
  </sheetViews>
  <sheetFormatPr defaultRowHeight="14.45" outlineLevelCol="1"/>
  <cols>
    <col min="1" max="1" width="24.5703125" customWidth="1"/>
    <col min="2" max="2" width="21.42578125" hidden="1" customWidth="1" outlineLevel="1"/>
    <col min="3" max="4" width="19.140625" hidden="1" customWidth="1" outlineLevel="1"/>
    <col min="5" max="5" width="8.85546875" hidden="1" customWidth="1" outlineLevel="1"/>
    <col min="6" max="6" width="13.5703125" customWidth="1" collapsed="1"/>
    <col min="7" max="8" width="18.85546875" customWidth="1"/>
    <col min="9" max="9" width="13.5703125" customWidth="1"/>
    <col min="11" max="11" width="21.42578125" hidden="1" customWidth="1" outlineLevel="1"/>
    <col min="12" max="13" width="19.140625" hidden="1" customWidth="1" outlineLevel="1"/>
    <col min="14" max="14" width="8.85546875" hidden="1" customWidth="1" outlineLevel="1"/>
    <col min="15" max="15" width="13.5703125" customWidth="1" collapsed="1"/>
    <col min="16" max="17" width="18.85546875" customWidth="1"/>
    <col min="18" max="18" width="13.5703125" customWidth="1"/>
    <col min="20" max="20" width="13.5703125" customWidth="1" collapsed="1"/>
    <col min="21" max="22" width="18.85546875" customWidth="1"/>
    <col min="23" max="23" width="13.5703125" customWidth="1"/>
  </cols>
  <sheetData>
    <row r="1" spans="1:23">
      <c r="F1" s="65"/>
      <c r="G1" s="65"/>
      <c r="H1" s="65"/>
      <c r="I1" s="65"/>
      <c r="O1" s="65"/>
      <c r="P1" s="65"/>
      <c r="Q1" s="65"/>
      <c r="R1" s="65"/>
      <c r="T1" s="65"/>
      <c r="U1" s="65"/>
      <c r="V1" s="65"/>
      <c r="W1" s="65"/>
    </row>
    <row r="2" spans="1:23" ht="24.95" thickBot="1">
      <c r="A2" s="102"/>
      <c r="B2" s="205" t="s">
        <v>76</v>
      </c>
      <c r="C2" s="206"/>
      <c r="D2" s="206"/>
      <c r="E2" s="101"/>
      <c r="F2" s="203" t="s">
        <v>77</v>
      </c>
      <c r="G2" s="204"/>
      <c r="H2" s="204"/>
      <c r="I2" s="204"/>
      <c r="K2" s="205" t="s">
        <v>78</v>
      </c>
      <c r="L2" s="206"/>
      <c r="M2" s="206"/>
      <c r="N2" s="103"/>
      <c r="O2" s="203" t="s">
        <v>79</v>
      </c>
      <c r="P2" s="204"/>
      <c r="Q2" s="204"/>
      <c r="R2" s="204"/>
      <c r="T2" s="203" t="s">
        <v>8</v>
      </c>
      <c r="U2" s="204"/>
      <c r="V2" s="204"/>
      <c r="W2" s="204"/>
    </row>
    <row r="3" spans="1:23" ht="18.95" thickTop="1" thickBot="1">
      <c r="A3" s="69" t="s">
        <v>80</v>
      </c>
      <c r="B3" s="16" t="s">
        <v>16</v>
      </c>
      <c r="C3" s="17" t="s">
        <v>81</v>
      </c>
      <c r="D3" s="18" t="s">
        <v>82</v>
      </c>
      <c r="F3" s="66" t="s">
        <v>83</v>
      </c>
      <c r="G3" s="67" t="s">
        <v>84</v>
      </c>
      <c r="H3" s="67" t="s">
        <v>85</v>
      </c>
      <c r="I3" s="68" t="s">
        <v>86</v>
      </c>
      <c r="K3" s="16" t="s">
        <v>16</v>
      </c>
      <c r="L3" s="17" t="s">
        <v>81</v>
      </c>
      <c r="M3" s="18" t="s">
        <v>82</v>
      </c>
      <c r="O3" s="66" t="s">
        <v>83</v>
      </c>
      <c r="P3" s="67" t="s">
        <v>84</v>
      </c>
      <c r="Q3" s="67" t="s">
        <v>85</v>
      </c>
      <c r="R3" s="68" t="s">
        <v>86</v>
      </c>
      <c r="T3" s="66" t="s">
        <v>83</v>
      </c>
      <c r="U3" s="67" t="s">
        <v>84</v>
      </c>
      <c r="V3" s="67" t="s">
        <v>85</v>
      </c>
      <c r="W3" s="68" t="s">
        <v>86</v>
      </c>
    </row>
    <row r="4" spans="1:23" ht="20.100000000000001">
      <c r="A4" s="1">
        <v>0</v>
      </c>
      <c r="B4" s="2"/>
      <c r="C4" s="4">
        <f>'Earn Impact Capital'!C5</f>
        <v>1000000</v>
      </c>
      <c r="F4" s="3"/>
      <c r="G4" s="5"/>
      <c r="H4" s="4">
        <f>I4*'Earn Impact Capital'!C5</f>
        <v>100000</v>
      </c>
      <c r="I4" s="3">
        <f>'Earn Impact Capital'!D5</f>
        <v>0.1</v>
      </c>
      <c r="K4" s="2"/>
      <c r="L4" s="4">
        <f>'Earn Impact Capital'!C5</f>
        <v>1000000</v>
      </c>
      <c r="O4" s="3"/>
      <c r="P4" s="5"/>
      <c r="Q4" s="4">
        <f>H4</f>
        <v>100000</v>
      </c>
      <c r="R4" s="3">
        <f>'Earn Impact Capital'!D5</f>
        <v>0.1</v>
      </c>
      <c r="T4" s="3"/>
      <c r="U4" s="5"/>
      <c r="V4" s="4">
        <f>Q4-H4</f>
        <v>0</v>
      </c>
      <c r="W4" s="3">
        <f>R4-I4</f>
        <v>0</v>
      </c>
    </row>
    <row r="5" spans="1:23" ht="20.100000000000001">
      <c r="A5" s="1">
        <v>1</v>
      </c>
      <c r="B5" s="3">
        <f>'Earn Impact Capital'!C9</f>
        <v>0</v>
      </c>
      <c r="C5" s="4">
        <f t="shared" ref="C5:C14" si="0">C4*(1+B5)</f>
        <v>1000000</v>
      </c>
      <c r="D5" s="4">
        <f>AVERAGE($C$4:C5)</f>
        <v>1000000</v>
      </c>
      <c r="F5" s="3">
        <f t="shared" ref="F5:F14" si="1">G5/AVERAGE($C4:$C5)</f>
        <v>0</v>
      </c>
      <c r="G5" s="4">
        <f t="shared" ref="G5:G14" si="2">(I5*$C5)-(I4*$C4)</f>
        <v>0</v>
      </c>
      <c r="H5" s="4">
        <f t="shared" ref="H5:H14" si="3">H4+G5</f>
        <v>100000</v>
      </c>
      <c r="I5" s="3">
        <f>IF($A5&lt;'Earn Impact Capital'!$C$11,$A5/'Earn Impact Capital'!$C$11*('Earn Impact Capital'!$C$10-'Earn Impact Capital'!$D$5)+'Earn Impact Capital'!$D$5,'Earn Impact Capital'!$C$10)</f>
        <v>0.1</v>
      </c>
      <c r="K5" s="3">
        <f>'Earn Impact Capital'!D9</f>
        <v>0</v>
      </c>
      <c r="L5" s="4">
        <f t="shared" ref="L5:L14" si="4">L4*(1+K5)</f>
        <v>1000000</v>
      </c>
      <c r="M5" s="4">
        <f>AVERAGE($L$4:L5)</f>
        <v>1000000</v>
      </c>
      <c r="O5" s="3">
        <f t="shared" ref="O5:O14" si="5">P5/AVERAGE($L4:$L5)</f>
        <v>0</v>
      </c>
      <c r="P5" s="4">
        <f t="shared" ref="P5:P14" si="6">(R5*$L5)-(R4*$L4)</f>
        <v>0</v>
      </c>
      <c r="Q5" s="4">
        <f t="shared" ref="Q5:Q14" si="7">Q4+P5</f>
        <v>100000</v>
      </c>
      <c r="R5" s="3">
        <f>IF($A5&lt;'Earn Impact Capital'!$D$11,$A5/'Earn Impact Capital'!$D$11*('Earn Impact Capital'!$D$10-'Earn Impact Capital'!$D$5)+'Earn Impact Capital'!$D$5,'Earn Impact Capital'!$D$10)</f>
        <v>0.1</v>
      </c>
      <c r="T5" s="3">
        <f>O5-F5</f>
        <v>0</v>
      </c>
      <c r="U5" s="4">
        <f>P5-G5</f>
        <v>0</v>
      </c>
      <c r="V5" s="4">
        <f t="shared" ref="V5:V14" si="8">Q5-H5</f>
        <v>0</v>
      </c>
      <c r="W5" s="3">
        <f t="shared" ref="W5:W14" si="9">R5-I5</f>
        <v>0</v>
      </c>
    </row>
    <row r="6" spans="1:23" ht="20.100000000000001">
      <c r="A6" s="1">
        <v>2</v>
      </c>
      <c r="B6" s="3">
        <f t="shared" ref="B6:B14" si="10">B5</f>
        <v>0</v>
      </c>
      <c r="C6" s="4">
        <f t="shared" si="0"/>
        <v>1000000</v>
      </c>
      <c r="D6" s="4">
        <f>AVERAGE($C$4:C6)</f>
        <v>1000000</v>
      </c>
      <c r="F6" s="3">
        <f t="shared" si="1"/>
        <v>0</v>
      </c>
      <c r="G6" s="4">
        <f t="shared" si="2"/>
        <v>0</v>
      </c>
      <c r="H6" s="4">
        <f t="shared" si="3"/>
        <v>100000</v>
      </c>
      <c r="I6" s="3">
        <f>IF($A6&lt;'Earn Impact Capital'!$C$11,$A6/'Earn Impact Capital'!$C$11*('Earn Impact Capital'!$C$10-'Earn Impact Capital'!$D$5)+'Earn Impact Capital'!$D$5,'Earn Impact Capital'!$C$10)</f>
        <v>0.1</v>
      </c>
      <c r="K6" s="3">
        <f t="shared" ref="K6:K14" si="11">K5</f>
        <v>0</v>
      </c>
      <c r="L6" s="4">
        <f t="shared" si="4"/>
        <v>1000000</v>
      </c>
      <c r="M6" s="4">
        <f>AVERAGE($L$4:L6)</f>
        <v>1000000</v>
      </c>
      <c r="O6" s="3">
        <f t="shared" si="5"/>
        <v>0</v>
      </c>
      <c r="P6" s="4">
        <f t="shared" si="6"/>
        <v>0</v>
      </c>
      <c r="Q6" s="4">
        <f t="shared" si="7"/>
        <v>100000</v>
      </c>
      <c r="R6" s="3">
        <f>IF($A6&lt;'Earn Impact Capital'!$D$11,$A6/'Earn Impact Capital'!$D$11*('Earn Impact Capital'!$D$10-'Earn Impact Capital'!$D$5)+'Earn Impact Capital'!$D$5,'Earn Impact Capital'!$D$10)</f>
        <v>0.1</v>
      </c>
      <c r="T6" s="3">
        <f t="shared" ref="T6:T14" si="12">O6-F6</f>
        <v>0</v>
      </c>
      <c r="U6" s="4">
        <f t="shared" ref="U6:U14" si="13">P6-G6</f>
        <v>0</v>
      </c>
      <c r="V6" s="4">
        <f t="shared" si="8"/>
        <v>0</v>
      </c>
      <c r="W6" s="3">
        <f t="shared" si="9"/>
        <v>0</v>
      </c>
    </row>
    <row r="7" spans="1:23" ht="20.100000000000001">
      <c r="A7" s="1">
        <v>3</v>
      </c>
      <c r="B7" s="3">
        <f t="shared" si="10"/>
        <v>0</v>
      </c>
      <c r="C7" s="4">
        <f t="shared" si="0"/>
        <v>1000000</v>
      </c>
      <c r="D7" s="4">
        <f>AVERAGE($C$4:C7)</f>
        <v>1000000</v>
      </c>
      <c r="F7" s="3">
        <f t="shared" si="1"/>
        <v>0</v>
      </c>
      <c r="G7" s="4">
        <f t="shared" si="2"/>
        <v>0</v>
      </c>
      <c r="H7" s="4">
        <f t="shared" si="3"/>
        <v>100000</v>
      </c>
      <c r="I7" s="3">
        <f>IF($A7&lt;'Earn Impact Capital'!$C$11,$A7/'Earn Impact Capital'!$C$11*('Earn Impact Capital'!$C$10-'Earn Impact Capital'!$D$5)+'Earn Impact Capital'!$D$5,'Earn Impact Capital'!$C$10)</f>
        <v>0.1</v>
      </c>
      <c r="K7" s="3">
        <f t="shared" si="11"/>
        <v>0</v>
      </c>
      <c r="L7" s="4">
        <f t="shared" si="4"/>
        <v>1000000</v>
      </c>
      <c r="M7" s="4">
        <f>AVERAGE($L$4:L7)</f>
        <v>1000000</v>
      </c>
      <c r="O7" s="3">
        <f t="shared" si="5"/>
        <v>0</v>
      </c>
      <c r="P7" s="4">
        <f t="shared" si="6"/>
        <v>0</v>
      </c>
      <c r="Q7" s="4">
        <f t="shared" si="7"/>
        <v>100000</v>
      </c>
      <c r="R7" s="3">
        <f>IF($A7&lt;'Earn Impact Capital'!$D$11,$A7/'Earn Impact Capital'!$D$11*('Earn Impact Capital'!$D$10-'Earn Impact Capital'!$D$5)+'Earn Impact Capital'!$D$5,'Earn Impact Capital'!$D$10)</f>
        <v>0.1</v>
      </c>
      <c r="T7" s="3">
        <f t="shared" si="12"/>
        <v>0</v>
      </c>
      <c r="U7" s="4">
        <f t="shared" si="13"/>
        <v>0</v>
      </c>
      <c r="V7" s="4">
        <f t="shared" si="8"/>
        <v>0</v>
      </c>
      <c r="W7" s="3">
        <f t="shared" si="9"/>
        <v>0</v>
      </c>
    </row>
    <row r="8" spans="1:23" ht="20.100000000000001">
      <c r="A8" s="1">
        <v>4</v>
      </c>
      <c r="B8" s="3">
        <f t="shared" si="10"/>
        <v>0</v>
      </c>
      <c r="C8" s="4">
        <f t="shared" si="0"/>
        <v>1000000</v>
      </c>
      <c r="D8" s="4">
        <f>AVERAGE($C$4:C8)</f>
        <v>1000000</v>
      </c>
      <c r="F8" s="3">
        <f t="shared" si="1"/>
        <v>0</v>
      </c>
      <c r="G8" s="4">
        <f t="shared" si="2"/>
        <v>0</v>
      </c>
      <c r="H8" s="4">
        <f t="shared" si="3"/>
        <v>100000</v>
      </c>
      <c r="I8" s="3">
        <f>IF($A8&lt;'Earn Impact Capital'!$C$11,$A8/'Earn Impact Capital'!$C$11*('Earn Impact Capital'!$C$10-'Earn Impact Capital'!$D$5)+'Earn Impact Capital'!$D$5,'Earn Impact Capital'!$C$10)</f>
        <v>0.1</v>
      </c>
      <c r="K8" s="3">
        <f t="shared" si="11"/>
        <v>0</v>
      </c>
      <c r="L8" s="4">
        <f t="shared" si="4"/>
        <v>1000000</v>
      </c>
      <c r="M8" s="4">
        <f>AVERAGE($L$4:L8)</f>
        <v>1000000</v>
      </c>
      <c r="O8" s="3">
        <f t="shared" si="5"/>
        <v>0</v>
      </c>
      <c r="P8" s="4">
        <f t="shared" si="6"/>
        <v>0</v>
      </c>
      <c r="Q8" s="4">
        <f t="shared" si="7"/>
        <v>100000</v>
      </c>
      <c r="R8" s="3">
        <f>IF($A8&lt;'Earn Impact Capital'!$D$11,$A8/'Earn Impact Capital'!$D$11*('Earn Impact Capital'!$D$10-'Earn Impact Capital'!$D$5)+'Earn Impact Capital'!$D$5,'Earn Impact Capital'!$D$10)</f>
        <v>0.1</v>
      </c>
      <c r="T8" s="3">
        <f t="shared" si="12"/>
        <v>0</v>
      </c>
      <c r="U8" s="4">
        <f t="shared" si="13"/>
        <v>0</v>
      </c>
      <c r="V8" s="4">
        <f t="shared" si="8"/>
        <v>0</v>
      </c>
      <c r="W8" s="3">
        <f t="shared" si="9"/>
        <v>0</v>
      </c>
    </row>
    <row r="9" spans="1:23" ht="20.100000000000001">
      <c r="A9" s="1">
        <v>5</v>
      </c>
      <c r="B9" s="3">
        <f t="shared" si="10"/>
        <v>0</v>
      </c>
      <c r="C9" s="4">
        <f t="shared" si="0"/>
        <v>1000000</v>
      </c>
      <c r="D9" s="4">
        <f>AVERAGE($C$4:C9)</f>
        <v>1000000</v>
      </c>
      <c r="F9" s="3">
        <f t="shared" si="1"/>
        <v>0</v>
      </c>
      <c r="G9" s="4">
        <f t="shared" si="2"/>
        <v>0</v>
      </c>
      <c r="H9" s="4">
        <f t="shared" si="3"/>
        <v>100000</v>
      </c>
      <c r="I9" s="3">
        <f>IF($A9&lt;'Earn Impact Capital'!$C$11,$A9/'Earn Impact Capital'!$C$11*('Earn Impact Capital'!$C$10-'Earn Impact Capital'!$D$5)+'Earn Impact Capital'!$D$5,'Earn Impact Capital'!$C$10)</f>
        <v>0.1</v>
      </c>
      <c r="K9" s="3">
        <f t="shared" si="11"/>
        <v>0</v>
      </c>
      <c r="L9" s="4">
        <f t="shared" si="4"/>
        <v>1000000</v>
      </c>
      <c r="M9" s="4">
        <f>AVERAGE($L$4:L9)</f>
        <v>1000000</v>
      </c>
      <c r="O9" s="3">
        <f t="shared" si="5"/>
        <v>0</v>
      </c>
      <c r="P9" s="4">
        <f t="shared" si="6"/>
        <v>0</v>
      </c>
      <c r="Q9" s="4">
        <f t="shared" si="7"/>
        <v>100000</v>
      </c>
      <c r="R9" s="3">
        <f>IF($A9&lt;'Earn Impact Capital'!$D$11,$A9/'Earn Impact Capital'!$D$11*('Earn Impact Capital'!$D$10-'Earn Impact Capital'!$D$5)+'Earn Impact Capital'!$D$5,'Earn Impact Capital'!$D$10)</f>
        <v>0.1</v>
      </c>
      <c r="T9" s="3">
        <f t="shared" si="12"/>
        <v>0</v>
      </c>
      <c r="U9" s="4">
        <f t="shared" si="13"/>
        <v>0</v>
      </c>
      <c r="V9" s="4">
        <f t="shared" si="8"/>
        <v>0</v>
      </c>
      <c r="W9" s="3">
        <f t="shared" si="9"/>
        <v>0</v>
      </c>
    </row>
    <row r="10" spans="1:23" ht="20.100000000000001">
      <c r="A10" s="1">
        <v>6</v>
      </c>
      <c r="B10" s="3">
        <f t="shared" si="10"/>
        <v>0</v>
      </c>
      <c r="C10" s="4">
        <f t="shared" si="0"/>
        <v>1000000</v>
      </c>
      <c r="D10" s="4">
        <f>AVERAGE($C$4:C10)</f>
        <v>1000000</v>
      </c>
      <c r="F10" s="3">
        <f t="shared" si="1"/>
        <v>0</v>
      </c>
      <c r="G10" s="4">
        <f t="shared" si="2"/>
        <v>0</v>
      </c>
      <c r="H10" s="4">
        <f t="shared" si="3"/>
        <v>100000</v>
      </c>
      <c r="I10" s="3">
        <f>IF($A10&lt;'Earn Impact Capital'!$C$11,$A10/'Earn Impact Capital'!$C$11*('Earn Impact Capital'!$C$10-'Earn Impact Capital'!$D$5)+'Earn Impact Capital'!$D$5,'Earn Impact Capital'!$C$10)</f>
        <v>0.1</v>
      </c>
      <c r="K10" s="3">
        <f t="shared" si="11"/>
        <v>0</v>
      </c>
      <c r="L10" s="4">
        <f t="shared" si="4"/>
        <v>1000000</v>
      </c>
      <c r="M10" s="4">
        <f>AVERAGE($L$4:L10)</f>
        <v>1000000</v>
      </c>
      <c r="O10" s="3">
        <f t="shared" si="5"/>
        <v>0</v>
      </c>
      <c r="P10" s="4">
        <f t="shared" si="6"/>
        <v>0</v>
      </c>
      <c r="Q10" s="4">
        <f t="shared" si="7"/>
        <v>100000</v>
      </c>
      <c r="R10" s="3">
        <f>IF($A10&lt;'Earn Impact Capital'!$D$11,$A10/'Earn Impact Capital'!$D$11*('Earn Impact Capital'!$D$10-'Earn Impact Capital'!$D$5)+'Earn Impact Capital'!$D$5,'Earn Impact Capital'!$D$10)</f>
        <v>0.1</v>
      </c>
      <c r="T10" s="3">
        <f t="shared" si="12"/>
        <v>0</v>
      </c>
      <c r="U10" s="4">
        <f t="shared" si="13"/>
        <v>0</v>
      </c>
      <c r="V10" s="4">
        <f t="shared" si="8"/>
        <v>0</v>
      </c>
      <c r="W10" s="3">
        <f t="shared" si="9"/>
        <v>0</v>
      </c>
    </row>
    <row r="11" spans="1:23" ht="20.100000000000001">
      <c r="A11" s="1">
        <v>7</v>
      </c>
      <c r="B11" s="3">
        <f t="shared" si="10"/>
        <v>0</v>
      </c>
      <c r="C11" s="4">
        <f t="shared" si="0"/>
        <v>1000000</v>
      </c>
      <c r="D11" s="4">
        <f>AVERAGE($C$4:C11)</f>
        <v>1000000</v>
      </c>
      <c r="F11" s="3">
        <f t="shared" si="1"/>
        <v>0</v>
      </c>
      <c r="G11" s="4">
        <f t="shared" si="2"/>
        <v>0</v>
      </c>
      <c r="H11" s="4">
        <f t="shared" si="3"/>
        <v>100000</v>
      </c>
      <c r="I11" s="3">
        <f>IF($A11&lt;'Earn Impact Capital'!$C$11,$A11/'Earn Impact Capital'!$C$11*('Earn Impact Capital'!$C$10-'Earn Impact Capital'!$D$5)+'Earn Impact Capital'!$D$5,'Earn Impact Capital'!$C$10)</f>
        <v>0.1</v>
      </c>
      <c r="K11" s="3">
        <f t="shared" si="11"/>
        <v>0</v>
      </c>
      <c r="L11" s="4">
        <f t="shared" si="4"/>
        <v>1000000</v>
      </c>
      <c r="M11" s="4">
        <f>AVERAGE($L$4:L11)</f>
        <v>1000000</v>
      </c>
      <c r="O11" s="3">
        <f t="shared" si="5"/>
        <v>0</v>
      </c>
      <c r="P11" s="4">
        <f t="shared" si="6"/>
        <v>0</v>
      </c>
      <c r="Q11" s="4">
        <f t="shared" si="7"/>
        <v>100000</v>
      </c>
      <c r="R11" s="3">
        <f>IF($A11&lt;'Earn Impact Capital'!$D$11,$A11/'Earn Impact Capital'!$D$11*('Earn Impact Capital'!$D$10-'Earn Impact Capital'!$D$5)+'Earn Impact Capital'!$D$5,'Earn Impact Capital'!$D$10)</f>
        <v>0.1</v>
      </c>
      <c r="T11" s="3">
        <f t="shared" si="12"/>
        <v>0</v>
      </c>
      <c r="U11" s="4">
        <f t="shared" si="13"/>
        <v>0</v>
      </c>
      <c r="V11" s="4">
        <f t="shared" si="8"/>
        <v>0</v>
      </c>
      <c r="W11" s="3">
        <f t="shared" si="9"/>
        <v>0</v>
      </c>
    </row>
    <row r="12" spans="1:23" ht="20.100000000000001">
      <c r="A12" s="1">
        <v>8</v>
      </c>
      <c r="B12" s="3">
        <f t="shared" si="10"/>
        <v>0</v>
      </c>
      <c r="C12" s="4">
        <f t="shared" si="0"/>
        <v>1000000</v>
      </c>
      <c r="D12" s="4">
        <f>AVERAGE($C$4:C12)</f>
        <v>1000000</v>
      </c>
      <c r="F12" s="3">
        <f t="shared" si="1"/>
        <v>0</v>
      </c>
      <c r="G12" s="4">
        <f t="shared" si="2"/>
        <v>0</v>
      </c>
      <c r="H12" s="4">
        <f t="shared" si="3"/>
        <v>100000</v>
      </c>
      <c r="I12" s="3">
        <f>IF($A12&lt;'Earn Impact Capital'!$C$11,$A12/'Earn Impact Capital'!$C$11*('Earn Impact Capital'!$C$10-'Earn Impact Capital'!$D$5)+'Earn Impact Capital'!$D$5,'Earn Impact Capital'!$C$10)</f>
        <v>0.1</v>
      </c>
      <c r="K12" s="3">
        <f t="shared" si="11"/>
        <v>0</v>
      </c>
      <c r="L12" s="4">
        <f t="shared" si="4"/>
        <v>1000000</v>
      </c>
      <c r="M12" s="4">
        <f>AVERAGE($L$4:L12)</f>
        <v>1000000</v>
      </c>
      <c r="O12" s="3">
        <f t="shared" si="5"/>
        <v>0</v>
      </c>
      <c r="P12" s="4">
        <f t="shared" si="6"/>
        <v>0</v>
      </c>
      <c r="Q12" s="4">
        <f t="shared" si="7"/>
        <v>100000</v>
      </c>
      <c r="R12" s="3">
        <f>IF($A12&lt;'Earn Impact Capital'!$D$11,$A12/'Earn Impact Capital'!$D$11*('Earn Impact Capital'!$D$10-'Earn Impact Capital'!$D$5)+'Earn Impact Capital'!$D$5,'Earn Impact Capital'!$D$10)</f>
        <v>0.1</v>
      </c>
      <c r="T12" s="3">
        <f t="shared" si="12"/>
        <v>0</v>
      </c>
      <c r="U12" s="4">
        <f t="shared" si="13"/>
        <v>0</v>
      </c>
      <c r="V12" s="4">
        <f t="shared" si="8"/>
        <v>0</v>
      </c>
      <c r="W12" s="3">
        <f t="shared" si="9"/>
        <v>0</v>
      </c>
    </row>
    <row r="13" spans="1:23" ht="20.100000000000001">
      <c r="A13" s="1">
        <v>9</v>
      </c>
      <c r="B13" s="3">
        <f t="shared" si="10"/>
        <v>0</v>
      </c>
      <c r="C13" s="4">
        <f t="shared" si="0"/>
        <v>1000000</v>
      </c>
      <c r="D13" s="4">
        <f>AVERAGE($C$4:C13)</f>
        <v>1000000</v>
      </c>
      <c r="F13" s="3">
        <f t="shared" si="1"/>
        <v>0</v>
      </c>
      <c r="G13" s="4">
        <f t="shared" si="2"/>
        <v>0</v>
      </c>
      <c r="H13" s="4">
        <f t="shared" si="3"/>
        <v>100000</v>
      </c>
      <c r="I13" s="3">
        <f>IF($A13&lt;'Earn Impact Capital'!$C$11,$A13/'Earn Impact Capital'!$C$11*('Earn Impact Capital'!$C$10-'Earn Impact Capital'!$D$5)+'Earn Impact Capital'!$D$5,'Earn Impact Capital'!$C$10)</f>
        <v>0.1</v>
      </c>
      <c r="K13" s="3">
        <f t="shared" si="11"/>
        <v>0</v>
      </c>
      <c r="L13" s="4">
        <f t="shared" si="4"/>
        <v>1000000</v>
      </c>
      <c r="M13" s="4">
        <f>AVERAGE($L$4:L13)</f>
        <v>1000000</v>
      </c>
      <c r="O13" s="3">
        <f t="shared" si="5"/>
        <v>0</v>
      </c>
      <c r="P13" s="4">
        <f t="shared" si="6"/>
        <v>0</v>
      </c>
      <c r="Q13" s="4">
        <f t="shared" si="7"/>
        <v>100000</v>
      </c>
      <c r="R13" s="3">
        <f>IF($A13&lt;'Earn Impact Capital'!$D$11,$A13/'Earn Impact Capital'!$D$11*('Earn Impact Capital'!$D$10-'Earn Impact Capital'!$D$5)+'Earn Impact Capital'!$D$5,'Earn Impact Capital'!$D$10)</f>
        <v>0.1</v>
      </c>
      <c r="T13" s="3">
        <f t="shared" si="12"/>
        <v>0</v>
      </c>
      <c r="U13" s="4">
        <f t="shared" si="13"/>
        <v>0</v>
      </c>
      <c r="V13" s="4">
        <f t="shared" si="8"/>
        <v>0</v>
      </c>
      <c r="W13" s="3">
        <f t="shared" si="9"/>
        <v>0</v>
      </c>
    </row>
    <row r="14" spans="1:23" ht="20.100000000000001">
      <c r="A14" s="1">
        <v>10</v>
      </c>
      <c r="B14" s="3">
        <f t="shared" si="10"/>
        <v>0</v>
      </c>
      <c r="C14" s="4">
        <f t="shared" si="0"/>
        <v>1000000</v>
      </c>
      <c r="D14" s="4">
        <f>AVERAGE($C$4:C14)</f>
        <v>1000000</v>
      </c>
      <c r="F14" s="3">
        <f t="shared" si="1"/>
        <v>0</v>
      </c>
      <c r="G14" s="4">
        <f t="shared" si="2"/>
        <v>0</v>
      </c>
      <c r="H14" s="4">
        <f t="shared" si="3"/>
        <v>100000</v>
      </c>
      <c r="I14" s="3">
        <f>IF($A14&lt;'Earn Impact Capital'!$C$11,$A14/'Earn Impact Capital'!$C$11*('Earn Impact Capital'!$C$10-'Earn Impact Capital'!$D$5)+'Earn Impact Capital'!$D$5,'Earn Impact Capital'!$C$10)</f>
        <v>0.1</v>
      </c>
      <c r="K14" s="3">
        <f t="shared" si="11"/>
        <v>0</v>
      </c>
      <c r="L14" s="4">
        <f t="shared" si="4"/>
        <v>1000000</v>
      </c>
      <c r="M14" s="4">
        <f>AVERAGE($L$4:L14)</f>
        <v>1000000</v>
      </c>
      <c r="O14" s="3">
        <f t="shared" si="5"/>
        <v>0</v>
      </c>
      <c r="P14" s="4">
        <f t="shared" si="6"/>
        <v>0</v>
      </c>
      <c r="Q14" s="4">
        <f t="shared" si="7"/>
        <v>100000</v>
      </c>
      <c r="R14" s="3">
        <f>IF($A14&lt;'Earn Impact Capital'!$D$11,$A14/'Earn Impact Capital'!$D$11*('Earn Impact Capital'!$D$10-'Earn Impact Capital'!$D$5)+'Earn Impact Capital'!$D$5,'Earn Impact Capital'!$D$10)</f>
        <v>0.1</v>
      </c>
      <c r="T14" s="3">
        <f t="shared" si="12"/>
        <v>0</v>
      </c>
      <c r="U14" s="4">
        <f t="shared" si="13"/>
        <v>0</v>
      </c>
      <c r="V14" s="4">
        <f t="shared" si="8"/>
        <v>0</v>
      </c>
      <c r="W14" s="3">
        <f t="shared" si="9"/>
        <v>0</v>
      </c>
    </row>
    <row r="15" spans="1:23">
      <c r="C15" s="8"/>
      <c r="L15" s="8"/>
    </row>
    <row r="16" spans="1:23" ht="20.100000000000001">
      <c r="A16" s="12" t="s">
        <v>87</v>
      </c>
      <c r="C16" s="9"/>
      <c r="G16" s="4">
        <f>SUMIF($A$5:$A$14,"&lt;="&amp;'Earn Impact Capital'!$C$11,G5:G14)</f>
        <v>0</v>
      </c>
      <c r="H16" s="4"/>
      <c r="I16" s="14"/>
      <c r="L16" s="9"/>
      <c r="P16" s="4">
        <f>SUMIF($A$5:$A$14,"&lt;="&amp;'Earn Impact Capital'!$D$11,P5:P14)</f>
        <v>0</v>
      </c>
      <c r="Q16" s="4"/>
      <c r="R16" s="14"/>
      <c r="U16" s="4">
        <f>P16-G16</f>
        <v>0</v>
      </c>
      <c r="V16" s="4"/>
      <c r="W16" s="14"/>
    </row>
    <row r="17" spans="1:22" ht="20.100000000000001">
      <c r="A17" s="12" t="s">
        <v>14</v>
      </c>
      <c r="G17" s="3">
        <f>G16/G18/'Earn Impact Capital'!C11</f>
        <v>0</v>
      </c>
      <c r="H17" s="4"/>
      <c r="P17" s="3">
        <f>P16/P18/'Earn Impact Capital'!D11</f>
        <v>0</v>
      </c>
      <c r="Q17" s="4"/>
      <c r="U17" s="3">
        <f t="shared" ref="U17:U19" si="14">P17-G17</f>
        <v>0</v>
      </c>
      <c r="V17" s="4"/>
    </row>
    <row r="18" spans="1:22" ht="20.100000000000001">
      <c r="A18" s="12" t="s">
        <v>88</v>
      </c>
      <c r="G18" s="4">
        <f>SUMIF($A$4:$A$14,"&lt;="&amp;'Earn Impact Capital'!C11,$C$4:$C$14)/('Earn Impact Capital'!C11+1)</f>
        <v>1000000</v>
      </c>
      <c r="H18" s="3"/>
      <c r="P18" s="4">
        <f>SUMIF($A$4:$A$14,"&lt;="&amp;'Earn Impact Capital'!D11,$L$4:$L$14)/('Earn Impact Capital'!D11+1)</f>
        <v>1000000</v>
      </c>
      <c r="Q18" s="3"/>
      <c r="U18" s="4">
        <f t="shared" si="14"/>
        <v>0</v>
      </c>
      <c r="V18" s="3"/>
    </row>
    <row r="19" spans="1:22" ht="20.45" customHeight="1">
      <c r="A19" s="12" t="s">
        <v>89</v>
      </c>
      <c r="G19" s="3">
        <f>B5</f>
        <v>0</v>
      </c>
      <c r="P19" s="3">
        <f>K5</f>
        <v>0</v>
      </c>
      <c r="U19" s="3">
        <f t="shared" si="14"/>
        <v>0</v>
      </c>
    </row>
  </sheetData>
  <mergeCells count="5">
    <mergeCell ref="F2:I2"/>
    <mergeCell ref="B2:D2"/>
    <mergeCell ref="O2:R2"/>
    <mergeCell ref="K2:M2"/>
    <mergeCell ref="T2:W2"/>
  </mergeCells>
  <pageMargins left="0.7" right="0.7" top="0.75" bottom="0.75" header="0.3" footer="0.3"/>
  <pageSetup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84652080-24D7-45A3-A68F-A6DAA2911E49}">
            <xm:f>$A6&gt;'Earn Impact Capital'!$C$11</xm:f>
            <x14:dxf>
              <fill>
                <patternFill>
                  <bgColor theme="0" tint="-0.14996795556505021"/>
                </patternFill>
              </fill>
            </x14:dxf>
          </x14:cfRule>
          <xm:sqref>B6:I6</xm:sqref>
        </x14:conditionalFormatting>
        <x14:conditionalFormatting xmlns:xm="http://schemas.microsoft.com/office/excel/2006/main">
          <x14:cfRule type="expression" priority="3" id="{9026695F-9D91-470E-8772-3E9205A05327}">
            <xm:f>$A7&gt;'Earn Impact Capital'!$C$11</xm:f>
            <x14:dxf>
              <fill>
                <patternFill>
                  <bgColor theme="0" tint="-0.14996795556505021"/>
                </patternFill>
              </fill>
            </x14:dxf>
          </x14:cfRule>
          <xm:sqref>B7:I14</xm:sqref>
        </x14:conditionalFormatting>
        <x14:conditionalFormatting xmlns:xm="http://schemas.microsoft.com/office/excel/2006/main">
          <x14:cfRule type="expression" priority="2" id="{639F4A19-9A4A-4D81-82F5-CFD5D63877F2}">
            <xm:f>$A6&gt;'Earn Impact Capital'!$D$11</xm:f>
            <x14:dxf>
              <fill>
                <patternFill>
                  <bgColor theme="0" tint="-0.14996795556505021"/>
                </patternFill>
              </fill>
            </x14:dxf>
          </x14:cfRule>
          <xm:sqref>K6:R6</xm:sqref>
        </x14:conditionalFormatting>
        <x14:conditionalFormatting xmlns:xm="http://schemas.microsoft.com/office/excel/2006/main">
          <x14:cfRule type="expression" priority="1" id="{9010E779-0AA8-42D4-8DB9-A8E90956F8AA}">
            <xm:f>$A7&gt;'Earn Impact Capital'!$D$11</xm:f>
            <x14:dxf>
              <fill>
                <patternFill>
                  <bgColor theme="0" tint="-0.14996795556505021"/>
                </patternFill>
              </fill>
            </x14:dxf>
          </x14:cfRule>
          <xm:sqref>K7:R14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716245A1E584B9954D49173EB65F5" ma:contentTypeVersion="13" ma:contentTypeDescription="Create a new document." ma:contentTypeScope="" ma:versionID="5bfb70c0f9a81c231feb977bfcb72f4d">
  <xsd:schema xmlns:xsd="http://www.w3.org/2001/XMLSchema" xmlns:xs="http://www.w3.org/2001/XMLSchema" xmlns:p="http://schemas.microsoft.com/office/2006/metadata/properties" xmlns:ns3="e53201d0-8d7a-44d6-a3b0-31e751f3059d" xmlns:ns4="93b023b3-821d-4194-b3b5-0fbbbbdb6013" targetNamespace="http://schemas.microsoft.com/office/2006/metadata/properties" ma:root="true" ma:fieldsID="071a7b9193c33b6e7bd6bde0be4c8c89" ns3:_="" ns4:_="">
    <xsd:import namespace="e53201d0-8d7a-44d6-a3b0-31e751f3059d"/>
    <xsd:import namespace="93b023b3-821d-4194-b3b5-0fbbbbdb60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201d0-8d7a-44d6-a3b0-31e751f30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023b3-821d-4194-b3b5-0fbbbbdb601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02C3CD-7E21-41F2-A3BF-733FFF52CD88}"/>
</file>

<file path=customXml/itemProps2.xml><?xml version="1.0" encoding="utf-8"?>
<ds:datastoreItem xmlns:ds="http://schemas.openxmlformats.org/officeDocument/2006/customXml" ds:itemID="{310B4AE3-42A4-4258-A230-67BA1FFE4A68}"/>
</file>

<file path=customXml/itemProps3.xml><?xml version="1.0" encoding="utf-8"?>
<ds:datastoreItem xmlns:ds="http://schemas.openxmlformats.org/officeDocument/2006/customXml" ds:itemID="{6E9268D9-D0D7-4CA5-845E-7A4E95908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 User</dc:creator>
  <cp:keywords/>
  <dc:description/>
  <cp:lastModifiedBy/>
  <cp:revision/>
  <dcterms:created xsi:type="dcterms:W3CDTF">2018-05-06T11:08:02Z</dcterms:created>
  <dcterms:modified xsi:type="dcterms:W3CDTF">2023-03-01T17:51:19Z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0x0101005A1716245A1E584B9954D49173EB65F5</vt:lpwstr>
  </property>
</Properties>
</file>