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myers-my.sharepoint.com/personal/ehoffman_cmyers_com/Documents/Desktop/Projects/Interactive Tools/"/>
    </mc:Choice>
  </mc:AlternateContent>
  <xr:revisionPtr revIDLastSave="0" documentId="8_{7E8107AE-753B-4105-826E-6EEEEE82A59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Earn Impact Capital" sheetId="7" r:id="rId1"/>
    <sheet name="Strategic Capital" sheetId="9" r:id="rId2"/>
    <sheet name="Scen Details" sheetId="8" state="hidden" r:id="rId3"/>
  </sheets>
  <definedNames>
    <definedName name="home" localSheetId="1">'Strategic Capital'!$D$20</definedName>
    <definedName name="home">#REF!</definedName>
    <definedName name="_xlnm.Print_Area" localSheetId="1">'Strategic Capital'!$C$4:$Q$28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9" l="1"/>
  <c r="G23" i="9"/>
  <c r="G24" i="9"/>
  <c r="L12" i="9"/>
  <c r="L13" i="9" s="1"/>
  <c r="L14" i="9" s="1"/>
  <c r="L15" i="9" s="1"/>
  <c r="L16" i="9" s="1"/>
  <c r="L17" i="9" s="1"/>
  <c r="L18" i="9" s="1"/>
  <c r="L19" i="9" s="1"/>
  <c r="L20" i="9" s="1"/>
  <c r="U28" i="9" l="1"/>
  <c r="U26" i="9"/>
  <c r="U24" i="9"/>
  <c r="X40" i="9" l="1"/>
  <c r="X38" i="9"/>
  <c r="X36" i="9"/>
  <c r="AE18" i="9" l="1"/>
  <c r="AB18" i="9"/>
  <c r="Y18" i="9"/>
  <c r="X18" i="9"/>
  <c r="X39" i="9" l="1"/>
  <c r="X37" i="9" l="1"/>
  <c r="D29" i="9" s="1"/>
  <c r="E7" i="9"/>
  <c r="D7" i="9"/>
  <c r="T2" i="9"/>
  <c r="U2" i="9"/>
  <c r="X11" i="9"/>
  <c r="Y11" i="9"/>
  <c r="AB11" i="9"/>
  <c r="AE11" i="9"/>
  <c r="X12" i="9"/>
  <c r="Y12" i="9"/>
  <c r="AB12" i="9"/>
  <c r="AE12" i="9"/>
  <c r="X13" i="9"/>
  <c r="Y13" i="9"/>
  <c r="AB13" i="9"/>
  <c r="AE13" i="9"/>
  <c r="X14" i="9"/>
  <c r="Y14" i="9"/>
  <c r="AB14" i="9"/>
  <c r="AE14" i="9"/>
  <c r="X15" i="9"/>
  <c r="Y15" i="9"/>
  <c r="AB15" i="9"/>
  <c r="AE15" i="9"/>
  <c r="X16" i="9"/>
  <c r="Y16" i="9"/>
  <c r="AB16" i="9"/>
  <c r="AE16" i="9"/>
  <c r="X17" i="9"/>
  <c r="Y17" i="9"/>
  <c r="AB17" i="9"/>
  <c r="AE17" i="9"/>
  <c r="X19" i="9"/>
  <c r="Y19" i="9"/>
  <c r="AB19" i="9"/>
  <c r="AE19" i="9"/>
  <c r="X20" i="9"/>
  <c r="Y20" i="9"/>
  <c r="AB20" i="9"/>
  <c r="AE20" i="9"/>
  <c r="F39" i="9"/>
  <c r="I39" i="9" s="1"/>
  <c r="F40" i="9"/>
  <c r="I40" i="9" s="1"/>
  <c r="AC18" i="9" l="1"/>
  <c r="AD18" i="9" s="1"/>
  <c r="AF18" i="9"/>
  <c r="AG18" i="9" s="1"/>
  <c r="Z18" i="9"/>
  <c r="AA18" i="9" s="1"/>
  <c r="F37" i="9"/>
  <c r="I37" i="9" s="1"/>
  <c r="Z19" i="9"/>
  <c r="AA19" i="9" s="1"/>
  <c r="AC20" i="9"/>
  <c r="AD20" i="9" s="1"/>
  <c r="Z20" i="9"/>
  <c r="AA20" i="9" s="1"/>
  <c r="F26" i="9"/>
  <c r="AC13" i="9"/>
  <c r="AD13" i="9" s="1"/>
  <c r="AC11" i="9"/>
  <c r="AD11" i="9" s="1"/>
  <c r="Z15" i="9"/>
  <c r="AA15" i="9" s="1"/>
  <c r="Z17" i="9"/>
  <c r="AA17" i="9" s="1"/>
  <c r="Z13" i="9"/>
  <c r="AA13" i="9" s="1"/>
  <c r="AC17" i="9"/>
  <c r="AD17" i="9" s="1"/>
  <c r="Z12" i="9"/>
  <c r="AA12" i="9" s="1"/>
  <c r="Z16" i="9"/>
  <c r="AA16" i="9" s="1"/>
  <c r="AF15" i="9"/>
  <c r="AG15" i="9" s="1"/>
  <c r="AF17" i="9"/>
  <c r="AG17" i="9" s="1"/>
  <c r="AF19" i="9"/>
  <c r="AG19" i="9" s="1"/>
  <c r="AF12" i="9"/>
  <c r="AG12" i="9" s="1"/>
  <c r="AC19" i="9"/>
  <c r="AD19" i="9" s="1"/>
  <c r="AC16" i="9"/>
  <c r="AD16" i="9" s="1"/>
  <c r="AC14" i="9"/>
  <c r="AD14" i="9" s="1"/>
  <c r="AF13" i="9"/>
  <c r="AG13" i="9" s="1"/>
  <c r="AC12" i="9"/>
  <c r="AD12" i="9" s="1"/>
  <c r="Z11" i="9"/>
  <c r="AA11" i="9" s="1"/>
  <c r="N11" i="9" s="1"/>
  <c r="AF11" i="9"/>
  <c r="AG11" i="9" s="1"/>
  <c r="AF20" i="9"/>
  <c r="AG20" i="9" s="1"/>
  <c r="AF16" i="9"/>
  <c r="AG16" i="9" s="1"/>
  <c r="AC15" i="9"/>
  <c r="AD15" i="9" s="1"/>
  <c r="Z14" i="9"/>
  <c r="AA14" i="9" s="1"/>
  <c r="AF14" i="9"/>
  <c r="AG14" i="9" s="1"/>
  <c r="F11" i="9" l="1"/>
  <c r="N18" i="9"/>
  <c r="T18" i="9" s="1"/>
  <c r="N16" i="9"/>
  <c r="T16" i="9" s="1"/>
  <c r="N19" i="9"/>
  <c r="F19" i="9" s="1"/>
  <c r="N17" i="9"/>
  <c r="T17" i="9" s="1"/>
  <c r="N15" i="9"/>
  <c r="T15" i="9" s="1"/>
  <c r="N20" i="9"/>
  <c r="F20" i="9" s="1"/>
  <c r="N14" i="9"/>
  <c r="T14" i="9" s="1"/>
  <c r="N13" i="9"/>
  <c r="F13" i="9" s="1"/>
  <c r="N12" i="9"/>
  <c r="F18" i="9" l="1"/>
  <c r="F16" i="9"/>
  <c r="T19" i="9"/>
  <c r="F17" i="9"/>
  <c r="T12" i="9"/>
  <c r="F12" i="9"/>
  <c r="T11" i="9"/>
  <c r="F15" i="9"/>
  <c r="T13" i="9"/>
  <c r="F14" i="9"/>
  <c r="T20" i="9"/>
  <c r="F23" i="9" l="1"/>
  <c r="T25" i="9"/>
  <c r="F24" i="9"/>
  <c r="F25" i="9" s="1"/>
  <c r="F27" i="9" s="1"/>
  <c r="G27" i="9" s="1"/>
  <c r="T26" i="9"/>
  <c r="F22" i="9"/>
  <c r="T24" i="9" l="1"/>
  <c r="R14" i="8"/>
  <c r="R13" i="8"/>
  <c r="R12" i="8"/>
  <c r="R11" i="8"/>
  <c r="R10" i="8"/>
  <c r="R9" i="8"/>
  <c r="R8" i="8"/>
  <c r="R7" i="8"/>
  <c r="R6" i="8"/>
  <c r="R5" i="8"/>
  <c r="L4" i="8"/>
  <c r="K5" i="8"/>
  <c r="E11" i="7"/>
  <c r="E10" i="7"/>
  <c r="E9" i="7"/>
  <c r="L5" i="8" l="1"/>
  <c r="P19" i="8"/>
  <c r="K6" i="8"/>
  <c r="K7" i="8" s="1"/>
  <c r="K8" i="8" s="1"/>
  <c r="K9" i="8" s="1"/>
  <c r="K10" i="8" s="1"/>
  <c r="K11" i="8" s="1"/>
  <c r="K12" i="8" s="1"/>
  <c r="K13" i="8" s="1"/>
  <c r="K14" i="8" s="1"/>
  <c r="M5" i="8"/>
  <c r="L6" i="8" l="1"/>
  <c r="L7" i="8" l="1"/>
  <c r="P18" i="8" s="1"/>
  <c r="M6" i="8"/>
  <c r="L8" i="8" l="1"/>
  <c r="M8" i="8" s="1"/>
  <c r="M7" i="8"/>
  <c r="L9" i="8" l="1"/>
  <c r="M9" i="8" s="1"/>
  <c r="D17" i="7"/>
  <c r="L10" i="8" l="1"/>
  <c r="L11" i="8" s="1"/>
  <c r="M11" i="8" s="1"/>
  <c r="M10" i="8" l="1"/>
  <c r="P10" i="8"/>
  <c r="O10" i="8" s="1"/>
  <c r="L12" i="8"/>
  <c r="P11" i="8"/>
  <c r="O11" i="8" s="1"/>
  <c r="P12" i="8" l="1"/>
  <c r="O12" i="8" s="1"/>
  <c r="L13" i="8"/>
  <c r="M12" i="8"/>
  <c r="P13" i="8" l="1"/>
  <c r="O13" i="8" s="1"/>
  <c r="L14" i="8"/>
  <c r="P14" i="8" s="1"/>
  <c r="O14" i="8" s="1"/>
  <c r="M13" i="8"/>
  <c r="M14" i="8" l="1"/>
  <c r="I14" i="8" l="1"/>
  <c r="W14" i="8" s="1"/>
  <c r="I13" i="8"/>
  <c r="W13" i="8" s="1"/>
  <c r="I12" i="8"/>
  <c r="W12" i="8" s="1"/>
  <c r="I11" i="8"/>
  <c r="W11" i="8" s="1"/>
  <c r="I10" i="8"/>
  <c r="W10" i="8" s="1"/>
  <c r="I9" i="8"/>
  <c r="W9" i="8" s="1"/>
  <c r="B5" i="8"/>
  <c r="C4" i="8"/>
  <c r="R4" i="8" l="1"/>
  <c r="B6" i="8"/>
  <c r="B7" i="8" s="1"/>
  <c r="B8" i="8" s="1"/>
  <c r="B9" i="8" s="1"/>
  <c r="B10" i="8" s="1"/>
  <c r="B11" i="8" s="1"/>
  <c r="B12" i="8" s="1"/>
  <c r="B13" i="8" s="1"/>
  <c r="B14" i="8" s="1"/>
  <c r="G19" i="8"/>
  <c r="U19" i="8" s="1"/>
  <c r="I8" i="8"/>
  <c r="W8" i="8" s="1"/>
  <c r="I4" i="8"/>
  <c r="H4" i="8" s="1"/>
  <c r="Q4" i="8" s="1"/>
  <c r="V4" i="8" s="1"/>
  <c r="I5" i="8"/>
  <c r="I6" i="8"/>
  <c r="I7" i="8"/>
  <c r="C5" i="8"/>
  <c r="D5" i="8" l="1"/>
  <c r="W4" i="8"/>
  <c r="W5" i="8"/>
  <c r="P7" i="8"/>
  <c r="W7" i="8"/>
  <c r="W6" i="8"/>
  <c r="P5" i="8"/>
  <c r="Q5" i="8" s="1"/>
  <c r="P6" i="8"/>
  <c r="P8" i="8"/>
  <c r="P9" i="8"/>
  <c r="G5" i="8"/>
  <c r="H5" i="8" s="1"/>
  <c r="C6" i="8"/>
  <c r="G6" i="8" s="1"/>
  <c r="F6" i="8" s="1"/>
  <c r="O5" i="8" l="1"/>
  <c r="P16" i="8"/>
  <c r="Q6" i="8"/>
  <c r="V5" i="8"/>
  <c r="O6" i="8"/>
  <c r="T6" i="8" s="1"/>
  <c r="U6" i="8"/>
  <c r="O7" i="8"/>
  <c r="O8" i="8"/>
  <c r="U5" i="8"/>
  <c r="O9" i="8"/>
  <c r="F5" i="8"/>
  <c r="C7" i="8"/>
  <c r="G18" i="8" s="1"/>
  <c r="H6" i="8"/>
  <c r="D6" i="8"/>
  <c r="T5" i="8" l="1"/>
  <c r="P17" i="8"/>
  <c r="D16" i="7" s="1"/>
  <c r="Q7" i="8"/>
  <c r="V6" i="8"/>
  <c r="D15" i="7"/>
  <c r="C8" i="8"/>
  <c r="D8" i="8" s="1"/>
  <c r="G7" i="8"/>
  <c r="D7" i="8"/>
  <c r="U18" i="8" s="1"/>
  <c r="H7" i="8" l="1"/>
  <c r="V7" i="8" s="1"/>
  <c r="U7" i="8"/>
  <c r="Q8" i="8"/>
  <c r="F7" i="8"/>
  <c r="T7" i="8" s="1"/>
  <c r="C9" i="8"/>
  <c r="C17" i="7" s="1"/>
  <c r="E17" i="7" s="1"/>
  <c r="G8" i="8"/>
  <c r="F8" i="8" l="1"/>
  <c r="T8" i="8" s="1"/>
  <c r="U8" i="8"/>
  <c r="Q9" i="8"/>
  <c r="C10" i="8"/>
  <c r="D10" i="8" s="1"/>
  <c r="G9" i="8"/>
  <c r="U9" i="8" s="1"/>
  <c r="D9" i="8"/>
  <c r="H8" i="8"/>
  <c r="V8" i="8" s="1"/>
  <c r="Q10" i="8" l="1"/>
  <c r="H9" i="8"/>
  <c r="V9" i="8" s="1"/>
  <c r="F9" i="8"/>
  <c r="T9" i="8" s="1"/>
  <c r="G16" i="8"/>
  <c r="C11" i="8"/>
  <c r="G10" i="8"/>
  <c r="F10" i="8" l="1"/>
  <c r="T10" i="8" s="1"/>
  <c r="U10" i="8"/>
  <c r="G17" i="8"/>
  <c r="U17" i="8" s="1"/>
  <c r="U16" i="8"/>
  <c r="Q11" i="8"/>
  <c r="C15" i="7"/>
  <c r="E15" i="7" s="1"/>
  <c r="C12" i="8"/>
  <c r="D12" i="8" s="1"/>
  <c r="G11" i="8"/>
  <c r="D11" i="8"/>
  <c r="H10" i="8"/>
  <c r="V10" i="8" s="1"/>
  <c r="C16" i="7" l="1"/>
  <c r="E16" i="7" s="1"/>
  <c r="F11" i="8"/>
  <c r="T11" i="8" s="1"/>
  <c r="U11" i="8"/>
  <c r="Q12" i="8"/>
  <c r="H11" i="8"/>
  <c r="V11" i="8" s="1"/>
  <c r="G12" i="8"/>
  <c r="C13" i="8"/>
  <c r="Q13" i="8" l="1"/>
  <c r="F12" i="8"/>
  <c r="T12" i="8" s="1"/>
  <c r="U12" i="8"/>
  <c r="C14" i="8"/>
  <c r="G13" i="8"/>
  <c r="D13" i="8"/>
  <c r="H12" i="8"/>
  <c r="V12" i="8" s="1"/>
  <c r="F13" i="8" l="1"/>
  <c r="T13" i="8" s="1"/>
  <c r="U13" i="8"/>
  <c r="Q14" i="8"/>
  <c r="H13" i="8"/>
  <c r="V13" i="8" s="1"/>
  <c r="G14" i="8"/>
  <c r="D14" i="8"/>
  <c r="F14" i="8" l="1"/>
  <c r="T14" i="8" s="1"/>
  <c r="U14" i="8"/>
  <c r="H14" i="8"/>
  <c r="V14" i="8" s="1"/>
</calcChain>
</file>

<file path=xl/sharedStrings.xml><?xml version="1.0" encoding="utf-8"?>
<sst xmlns="http://schemas.openxmlformats.org/spreadsheetml/2006/main" count="138" uniqueCount="90">
  <si>
    <t>Comparison of Earnings Needed to Achieve Capital Goals</t>
  </si>
  <si>
    <t>Current Position</t>
  </si>
  <si>
    <t>Year List</t>
  </si>
  <si>
    <t>Asset Size</t>
  </si>
  <si>
    <t>Capital%</t>
  </si>
  <si>
    <t>Assumptions to Test</t>
  </si>
  <si>
    <t>Scen 1</t>
  </si>
  <si>
    <t>Scen 2</t>
  </si>
  <si>
    <t>Difference</t>
  </si>
  <si>
    <t>Growth%</t>
  </si>
  <si>
    <t>Target Capital%</t>
  </si>
  <si>
    <t>By Year</t>
  </si>
  <si>
    <t>Results</t>
  </si>
  <si>
    <t>Earnings Needed</t>
  </si>
  <si>
    <t>Avg ROA Needed</t>
  </si>
  <si>
    <t>Ending Asset Size</t>
  </si>
  <si>
    <t>Growth</t>
  </si>
  <si>
    <t>Average</t>
  </si>
  <si>
    <t>Aggregate Strategic Capital Requirements</t>
  </si>
  <si>
    <t>Type</t>
  </si>
  <si>
    <t>Earn Help</t>
  </si>
  <si>
    <t>All</t>
  </si>
  <si>
    <t>Assets ($000s)</t>
  </si>
  <si>
    <t>Capital $s</t>
  </si>
  <si>
    <t>Minimum Capital%</t>
  </si>
  <si>
    <t>Rationale for Minimum</t>
  </si>
  <si>
    <t>Risk</t>
  </si>
  <si>
    <t>Yes</t>
  </si>
  <si>
    <t>All Risk</t>
  </si>
  <si>
    <t>Brief Explanation</t>
  </si>
  <si>
    <t>Opp</t>
  </si>
  <si>
    <t>No</t>
  </si>
  <si>
    <t>All Opp</t>
  </si>
  <si>
    <t>N/A</t>
  </si>
  <si>
    <t>Top 5</t>
  </si>
  <si>
    <t>Potential Strategic Need</t>
  </si>
  <si>
    <t>Capital% to Prepare for Selected</t>
  </si>
  <si>
    <t>Capital% Reduction 
if Occurs</t>
  </si>
  <si>
    <t>Desired Coverage</t>
  </si>
  <si>
    <t>Include</t>
  </si>
  <si>
    <t>Rationale</t>
  </si>
  <si>
    <t>Top 4</t>
  </si>
  <si>
    <t>Total</t>
  </si>
  <si>
    <t>Rank</t>
  </si>
  <si>
    <t>Interest Rate Risk</t>
  </si>
  <si>
    <t>Top 3</t>
  </si>
  <si>
    <t>Additional Credit Risk</t>
  </si>
  <si>
    <t>Top 2</t>
  </si>
  <si>
    <t>Regulatory Risk</t>
  </si>
  <si>
    <t>Top 1</t>
  </si>
  <si>
    <t>CECL</t>
  </si>
  <si>
    <t>Fraud</t>
  </si>
  <si>
    <t xml:space="preserve"> </t>
  </si>
  <si>
    <t>PR Disaster</t>
  </si>
  <si>
    <t>Increased BI Investment</t>
  </si>
  <si>
    <t>Automation and AI</t>
  </si>
  <si>
    <t>Merger/Acquisition</t>
  </si>
  <si>
    <t>Fast Deposit Growth</t>
  </si>
  <si>
    <t>Capital to Support Risks</t>
  </si>
  <si>
    <t>Capital to Support Opportunities</t>
  </si>
  <si>
    <t>Total Capital To Support Strategy</t>
  </si>
  <si>
    <t>Total Capital Required to Support Strategy</t>
  </si>
  <si>
    <t>Covers Risk, Opportunities and Minimum Capital%</t>
  </si>
  <si>
    <t>Current Capital%</t>
  </si>
  <si>
    <t>Comments for this Update:  The fast deposit growth assumption has increased based on the record growth we have experienced recently.  Additionally, the credit risk increased as we have started to see….</t>
  </si>
  <si>
    <t># of Items</t>
  </si>
  <si>
    <t>Max</t>
  </si>
  <si>
    <t>Select</t>
  </si>
  <si>
    <t>All Risk/Opportunities</t>
  </si>
  <si>
    <t>Agreements:  Net worth should be able to cover all of the identified major risks and opportunities.  If we are are making a positive ROA after the interest rate environment stress, we will not count on the positive earnings to offset potential strategic net worth needs.</t>
  </si>
  <si>
    <t>or</t>
  </si>
  <si>
    <t>Largest Risks or Opportunities</t>
  </si>
  <si>
    <t>Largest Risks &amp;</t>
  </si>
  <si>
    <t>Largest Opportunities</t>
  </si>
  <si>
    <t>Adjust selection and # of Items to reflect philosophy of what you want capital to be able to cover</t>
  </si>
  <si>
    <t>Make sure you have sufficient number of items in your selections.</t>
  </si>
  <si>
    <t>Asset Growth-Scen 1</t>
  </si>
  <si>
    <t>Scenario 1</t>
  </si>
  <si>
    <t>Asset Growth-Scen 2</t>
  </si>
  <si>
    <t>Scenario 2</t>
  </si>
  <si>
    <t>Year</t>
  </si>
  <si>
    <t>Assets</t>
  </si>
  <si>
    <t>Avg Assets</t>
  </si>
  <si>
    <t>ROA</t>
  </si>
  <si>
    <t>Net Inc</t>
  </si>
  <si>
    <t>Net Worth</t>
  </si>
  <si>
    <t>NW Ratio</t>
  </si>
  <si>
    <t>Total for Selected Years</t>
  </si>
  <si>
    <t>Avg Assets for Selected Years</t>
  </si>
  <si>
    <t>Assumed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</si>
</sst>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Arial"/>
      <family val="2"/>
    </font>
    <font>
      <sz val="10"/>
      <name val="Arial"/>
      <family val="2"/>
    </font>
    <font>
      <sz val="16"/>
      <color indexed="9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color rgb="FF2C2C2C"/>
      <name val="Arial"/>
      <family val="2"/>
    </font>
    <font>
      <b/>
      <sz val="15"/>
      <color indexed="9"/>
      <name val="Arial"/>
      <family val="2"/>
    </font>
    <font>
      <b/>
      <sz val="16"/>
      <color indexed="9"/>
      <name val="Arial"/>
      <family val="2"/>
    </font>
    <font>
      <sz val="15"/>
      <color indexed="9"/>
      <name val="Arial"/>
      <family val="2"/>
    </font>
    <font>
      <sz val="16"/>
      <color theme="0"/>
      <name val="Arial"/>
      <family val="2"/>
    </font>
    <font>
      <b/>
      <sz val="16"/>
      <color rgb="FFC00000"/>
      <name val="Arial"/>
      <family val="2"/>
    </font>
    <font>
      <sz val="18"/>
      <name val="Arial"/>
      <family val="2"/>
    </font>
    <font>
      <sz val="22"/>
      <color indexed="9"/>
      <name val="Arial Black"/>
      <family val="2"/>
    </font>
    <font>
      <b/>
      <sz val="16"/>
      <color theme="0"/>
      <name val="Arial"/>
      <family val="2"/>
    </font>
    <font>
      <b/>
      <sz val="14"/>
      <color theme="1"/>
      <name val="Arial Black"/>
      <family val="2"/>
    </font>
    <font>
      <b/>
      <sz val="16"/>
      <color theme="0"/>
      <name val="Arial Black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name val="Arial Black"/>
      <family val="2"/>
    </font>
    <font>
      <b/>
      <sz val="15"/>
      <color theme="0"/>
      <name val="Arial"/>
      <family val="2"/>
    </font>
    <font>
      <sz val="15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1"/>
      </left>
      <right style="thick">
        <color theme="1"/>
      </right>
      <top style="thick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medium">
        <color indexed="64"/>
      </left>
      <right/>
      <top/>
      <bottom style="thick">
        <color rgb="FFC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medium">
        <color indexed="64"/>
      </right>
      <top style="thick">
        <color rgb="FFC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rgb="FFC00000"/>
      </bottom>
      <diagonal/>
    </border>
    <border>
      <left/>
      <right/>
      <top style="thick">
        <color indexed="64"/>
      </top>
      <bottom style="thick">
        <color rgb="FFC00000"/>
      </bottom>
      <diagonal/>
    </border>
    <border>
      <left/>
      <right style="thick">
        <color indexed="64"/>
      </right>
      <top style="thick">
        <color indexed="64"/>
      </top>
      <bottom style="thick">
        <color rgb="FFC00000"/>
      </bottom>
      <diagonal/>
    </border>
    <border>
      <left style="medium">
        <color indexed="64"/>
      </left>
      <right/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0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0" fontId="5" fillId="0" borderId="0" xfId="2" applyNumberFormat="1" applyFont="1" applyBorder="1" applyAlignment="1" applyProtection="1">
      <alignment horizontal="right" vertical="center"/>
    </xf>
    <xf numFmtId="5" fontId="5" fillId="0" borderId="0" xfId="1" applyNumberFormat="1" applyFont="1" applyBorder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165" fontId="0" fillId="0" borderId="0" xfId="1" applyNumberFormat="1" applyFont="1"/>
    <xf numFmtId="5" fontId="0" fillId="0" borderId="0" xfId="0" applyNumberFormat="1"/>
    <xf numFmtId="9" fontId="0" fillId="0" borderId="0" xfId="2" applyFont="1"/>
    <xf numFmtId="0" fontId="3" fillId="3" borderId="2" xfId="0" applyFont="1" applyFill="1" applyBorder="1" applyAlignment="1">
      <alignment horizontal="center" vertical="center" wrapText="1"/>
    </xf>
    <xf numFmtId="10" fontId="5" fillId="0" borderId="3" xfId="2" applyNumberFormat="1" applyFont="1" applyBorder="1" applyAlignment="1" applyProtection="1">
      <alignment horizontal="right" vertical="center"/>
    </xf>
    <xf numFmtId="0" fontId="6" fillId="0" borderId="0" xfId="0" applyFont="1"/>
    <xf numFmtId="0" fontId="7" fillId="0" borderId="0" xfId="0" applyFont="1"/>
    <xf numFmtId="10" fontId="5" fillId="0" borderId="0" xfId="2" applyNumberFormat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0" borderId="0" xfId="3" applyAlignment="1">
      <alignment horizontal="center"/>
    </xf>
    <xf numFmtId="9" fontId="9" fillId="0" borderId="0" xfId="4" applyFont="1" applyAlignment="1" applyProtection="1">
      <alignment horizontal="center"/>
    </xf>
    <xf numFmtId="10" fontId="5" fillId="0" borderId="0" xfId="3" applyNumberFormat="1" applyFont="1" applyAlignment="1">
      <alignment horizontal="right"/>
    </xf>
    <xf numFmtId="0" fontId="5" fillId="0" borderId="0" xfId="3" applyFont="1" applyAlignment="1">
      <alignment horizontal="center"/>
    </xf>
    <xf numFmtId="0" fontId="9" fillId="2" borderId="8" xfId="3" applyFill="1" applyBorder="1" applyAlignment="1">
      <alignment horizontal="center"/>
    </xf>
    <xf numFmtId="165" fontId="12" fillId="2" borderId="9" xfId="5" applyNumberFormat="1" applyFont="1" applyFill="1" applyBorder="1" applyAlignment="1" applyProtection="1">
      <alignment horizontal="right"/>
    </xf>
    <xf numFmtId="0" fontId="9" fillId="2" borderId="9" xfId="3" applyFill="1" applyBorder="1" applyAlignment="1">
      <alignment horizontal="center"/>
    </xf>
    <xf numFmtId="0" fontId="9" fillId="2" borderId="10" xfId="3" applyFill="1" applyBorder="1" applyAlignment="1">
      <alignment horizontal="center"/>
    </xf>
    <xf numFmtId="9" fontId="5" fillId="0" borderId="0" xfId="4" applyFont="1" applyAlignment="1" applyProtection="1">
      <alignment horizontal="center"/>
    </xf>
    <xf numFmtId="43" fontId="9" fillId="0" borderId="0" xfId="3" applyNumberFormat="1" applyAlignment="1">
      <alignment horizontal="center"/>
    </xf>
    <xf numFmtId="0" fontId="14" fillId="0" borderId="11" xfId="3" applyFont="1" applyBorder="1" applyAlignment="1">
      <alignment horizontal="center" vertical="center"/>
    </xf>
    <xf numFmtId="10" fontId="14" fillId="0" borderId="0" xfId="4" applyNumberFormat="1" applyFont="1" applyFill="1" applyBorder="1" applyAlignment="1" applyProtection="1">
      <alignment horizontal="right" vertical="center" wrapText="1"/>
    </xf>
    <xf numFmtId="10" fontId="9" fillId="0" borderId="0" xfId="4" applyNumberFormat="1" applyFont="1" applyAlignment="1" applyProtection="1">
      <alignment horizontal="center"/>
    </xf>
    <xf numFmtId="0" fontId="14" fillId="0" borderId="11" xfId="3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10" fontId="14" fillId="0" borderId="0" xfId="4" applyNumberFormat="1" applyFont="1" applyFill="1" applyBorder="1" applyAlignment="1" applyProtection="1">
      <alignment horizontal="center" vertical="center" wrapText="1"/>
    </xf>
    <xf numFmtId="10" fontId="14" fillId="0" borderId="0" xfId="3" applyNumberFormat="1" applyFont="1" applyAlignment="1">
      <alignment horizontal="right" vertical="center" wrapText="1"/>
    </xf>
    <xf numFmtId="0" fontId="9" fillId="6" borderId="0" xfId="3" applyFill="1" applyAlignment="1">
      <alignment horizontal="center" vertical="center"/>
    </xf>
    <xf numFmtId="10" fontId="18" fillId="5" borderId="0" xfId="3" applyNumberFormat="1" applyFont="1" applyFill="1" applyAlignment="1">
      <alignment horizontal="right"/>
    </xf>
    <xf numFmtId="0" fontId="16" fillId="7" borderId="12" xfId="3" applyFont="1" applyFill="1" applyBorder="1" applyAlignment="1">
      <alignment horizontal="center"/>
    </xf>
    <xf numFmtId="0" fontId="9" fillId="0" borderId="11" xfId="3" applyBorder="1" applyAlignment="1">
      <alignment horizontal="center"/>
    </xf>
    <xf numFmtId="3" fontId="10" fillId="0" borderId="0" xfId="3" applyNumberFormat="1" applyFont="1" applyAlignment="1">
      <alignment horizontal="center"/>
    </xf>
    <xf numFmtId="3" fontId="10" fillId="0" borderId="0" xfId="3" applyNumberFormat="1" applyFont="1" applyAlignment="1">
      <alignment horizontal="right"/>
    </xf>
    <xf numFmtId="0" fontId="20" fillId="0" borderId="11" xfId="3" applyFont="1" applyBorder="1" applyAlignment="1">
      <alignment horizontal="center"/>
    </xf>
    <xf numFmtId="0" fontId="20" fillId="0" borderId="0" xfId="3" applyFont="1" applyAlignment="1">
      <alignment horizontal="right"/>
    </xf>
    <xf numFmtId="0" fontId="20" fillId="0" borderId="1" xfId="3" applyFont="1" applyBorder="1" applyAlignment="1">
      <alignment horizontal="center"/>
    </xf>
    <xf numFmtId="3" fontId="9" fillId="0" borderId="0" xfId="5" applyNumberFormat="1" applyFont="1" applyAlignment="1" applyProtection="1">
      <alignment horizontal="center"/>
    </xf>
    <xf numFmtId="0" fontId="20" fillId="0" borderId="0" xfId="3" applyFont="1" applyAlignment="1">
      <alignment horizontal="center"/>
    </xf>
    <xf numFmtId="0" fontId="9" fillId="0" borderId="0" xfId="3" applyAlignment="1">
      <alignment horizontal="left"/>
    </xf>
    <xf numFmtId="165" fontId="0" fillId="0" borderId="0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1" xfId="0" applyFont="1" applyBorder="1"/>
    <xf numFmtId="10" fontId="8" fillId="0" borderId="22" xfId="2" applyNumberFormat="1" applyFont="1" applyBorder="1" applyAlignment="1" applyProtection="1">
      <alignment horizontal="right" vertical="center"/>
    </xf>
    <xf numFmtId="0" fontId="6" fillId="8" borderId="23" xfId="0" applyFont="1" applyFill="1" applyBorder="1"/>
    <xf numFmtId="0" fontId="6" fillId="8" borderId="25" xfId="0" applyFont="1" applyFill="1" applyBorder="1"/>
    <xf numFmtId="5" fontId="5" fillId="8" borderId="6" xfId="1" applyNumberFormat="1" applyFont="1" applyFill="1" applyBorder="1" applyAlignment="1" applyProtection="1">
      <alignment horizontal="right" vertical="center"/>
    </xf>
    <xf numFmtId="5" fontId="8" fillId="8" borderId="26" xfId="1" applyNumberFormat="1" applyFont="1" applyFill="1" applyBorder="1" applyAlignment="1" applyProtection="1">
      <alignment horizontal="right" vertical="center"/>
    </xf>
    <xf numFmtId="5" fontId="5" fillId="8" borderId="20" xfId="1" applyNumberFormat="1" applyFont="1" applyFill="1" applyBorder="1" applyAlignment="1" applyProtection="1">
      <alignment horizontal="right" vertical="center"/>
    </xf>
    <xf numFmtId="5" fontId="8" fillId="8" borderId="24" xfId="1" applyNumberFormat="1" applyFont="1" applyFill="1" applyBorder="1" applyAlignment="1" applyProtection="1">
      <alignment horizontal="right" vertical="center"/>
    </xf>
    <xf numFmtId="0" fontId="0" fillId="0" borderId="27" xfId="0" applyBorder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0" fontId="22" fillId="3" borderId="0" xfId="3" applyNumberFormat="1" applyFont="1" applyFill="1" applyAlignment="1">
      <alignment horizontal="center"/>
    </xf>
    <xf numFmtId="9" fontId="9" fillId="0" borderId="0" xfId="4" applyFont="1" applyBorder="1" applyAlignment="1" applyProtection="1">
      <alignment horizontal="center"/>
    </xf>
    <xf numFmtId="0" fontId="9" fillId="0" borderId="9" xfId="3" applyBorder="1" applyAlignment="1">
      <alignment horizontal="center"/>
    </xf>
    <xf numFmtId="0" fontId="25" fillId="3" borderId="1" xfId="3" applyFont="1" applyFill="1" applyBorder="1" applyAlignment="1">
      <alignment horizontal="center"/>
    </xf>
    <xf numFmtId="0" fontId="9" fillId="0" borderId="10" xfId="3" applyBorder="1" applyAlignment="1">
      <alignment horizontal="center"/>
    </xf>
    <xf numFmtId="0" fontId="25" fillId="2" borderId="30" xfId="3" applyFont="1" applyFill="1" applyBorder="1" applyAlignment="1">
      <alignment horizontal="center"/>
    </xf>
    <xf numFmtId="10" fontId="22" fillId="2" borderId="31" xfId="3" applyNumberFormat="1" applyFont="1" applyFill="1" applyBorder="1" applyAlignment="1">
      <alignment horizontal="center"/>
    </xf>
    <xf numFmtId="10" fontId="22" fillId="2" borderId="32" xfId="3" applyNumberFormat="1" applyFont="1" applyFill="1" applyBorder="1" applyAlignment="1">
      <alignment horizontal="center"/>
    </xf>
    <xf numFmtId="0" fontId="9" fillId="0" borderId="13" xfId="3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9" fillId="3" borderId="11" xfId="3" applyFill="1" applyBorder="1" applyAlignment="1">
      <alignment horizontal="center"/>
    </xf>
    <xf numFmtId="10" fontId="11" fillId="0" borderId="1" xfId="3" applyNumberFormat="1" applyFont="1" applyBorder="1" applyAlignment="1">
      <alignment horizontal="right" indent="1"/>
    </xf>
    <xf numFmtId="10" fontId="5" fillId="0" borderId="1" xfId="3" applyNumberFormat="1" applyFont="1" applyBorder="1" applyAlignment="1">
      <alignment horizontal="right" indent="1"/>
    </xf>
    <xf numFmtId="10" fontId="11" fillId="0" borderId="1" xfId="3" applyNumberFormat="1" applyFont="1" applyBorder="1" applyAlignment="1">
      <alignment horizontal="right" wrapText="1" indent="1"/>
    </xf>
    <xf numFmtId="0" fontId="13" fillId="0" borderId="0" xfId="3" applyFont="1" applyAlignment="1">
      <alignment horizontal="left" vertical="top" wrapText="1"/>
    </xf>
    <xf numFmtId="10" fontId="5" fillId="0" borderId="0" xfId="4" applyNumberFormat="1" applyFont="1" applyFill="1" applyBorder="1" applyAlignment="1" applyProtection="1">
      <alignment horizontal="center"/>
    </xf>
    <xf numFmtId="0" fontId="16" fillId="7" borderId="29" xfId="3" applyFont="1" applyFill="1" applyBorder="1" applyAlignment="1">
      <alignment horizontal="center"/>
    </xf>
    <xf numFmtId="0" fontId="16" fillId="7" borderId="32" xfId="3" applyFont="1" applyFill="1" applyBorder="1" applyAlignment="1">
      <alignment horizontal="center"/>
    </xf>
    <xf numFmtId="10" fontId="5" fillId="0" borderId="1" xfId="3" applyNumberFormat="1" applyFont="1" applyBorder="1" applyAlignment="1">
      <alignment horizontal="right"/>
    </xf>
    <xf numFmtId="0" fontId="5" fillId="0" borderId="11" xfId="3" applyFont="1" applyBorder="1" applyAlignment="1">
      <alignment horizontal="center"/>
    </xf>
    <xf numFmtId="10" fontId="5" fillId="0" borderId="10" xfId="3" applyNumberFormat="1" applyFont="1" applyBorder="1" applyAlignment="1">
      <alignment horizontal="right"/>
    </xf>
    <xf numFmtId="10" fontId="5" fillId="0" borderId="9" xfId="4" applyNumberFormat="1" applyFont="1" applyFill="1" applyBorder="1" applyAlignment="1" applyProtection="1">
      <alignment horizontal="center"/>
    </xf>
    <xf numFmtId="0" fontId="5" fillId="0" borderId="9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10" fontId="5" fillId="8" borderId="1" xfId="3" applyNumberFormat="1" applyFont="1" applyFill="1" applyBorder="1" applyAlignment="1">
      <alignment horizontal="right"/>
    </xf>
    <xf numFmtId="10" fontId="5" fillId="8" borderId="0" xfId="4" applyNumberFormat="1" applyFont="1" applyFill="1" applyBorder="1" applyAlignment="1" applyProtection="1">
      <alignment horizontal="center"/>
    </xf>
    <xf numFmtId="0" fontId="5" fillId="8" borderId="0" xfId="3" applyFont="1" applyFill="1" applyAlignment="1">
      <alignment horizontal="center"/>
    </xf>
    <xf numFmtId="0" fontId="5" fillId="8" borderId="11" xfId="3" applyFont="1" applyFill="1" applyBorder="1" applyAlignment="1">
      <alignment horizontal="center"/>
    </xf>
    <xf numFmtId="0" fontId="0" fillId="2" borderId="30" xfId="0" applyFill="1" applyBorder="1"/>
    <xf numFmtId="0" fontId="22" fillId="2" borderId="30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2" xfId="0" applyFill="1" applyBorder="1"/>
    <xf numFmtId="0" fontId="0" fillId="0" borderId="13" xfId="0" applyBorder="1"/>
    <xf numFmtId="1" fontId="5" fillId="0" borderId="0" xfId="3" applyNumberFormat="1" applyFont="1" applyAlignment="1">
      <alignment horizontal="right"/>
    </xf>
    <xf numFmtId="10" fontId="18" fillId="3" borderId="0" xfId="3" applyNumberFormat="1" applyFont="1" applyFill="1" applyAlignment="1">
      <alignment horizontal="center"/>
    </xf>
    <xf numFmtId="0" fontId="9" fillId="3" borderId="0" xfId="3" applyFill="1" applyAlignment="1">
      <alignment horizontal="center"/>
    </xf>
    <xf numFmtId="0" fontId="26" fillId="0" borderId="0" xfId="3" applyFont="1" applyAlignment="1">
      <alignment horizontal="left"/>
    </xf>
    <xf numFmtId="0" fontId="27" fillId="0" borderId="0" xfId="3" applyFont="1" applyAlignment="1">
      <alignment horizontal="center"/>
    </xf>
    <xf numFmtId="10" fontId="22" fillId="3" borderId="34" xfId="3" applyNumberFormat="1" applyFont="1" applyFill="1" applyBorder="1" applyAlignment="1">
      <alignment horizontal="center"/>
    </xf>
    <xf numFmtId="0" fontId="9" fillId="3" borderId="8" xfId="3" applyFill="1" applyBorder="1" applyAlignment="1">
      <alignment horizontal="center"/>
    </xf>
    <xf numFmtId="0" fontId="22" fillId="2" borderId="42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8" fillId="8" borderId="44" xfId="0" applyFont="1" applyFill="1" applyBorder="1"/>
    <xf numFmtId="10" fontId="8" fillId="0" borderId="45" xfId="2" applyNumberFormat="1" applyFont="1" applyBorder="1" applyAlignment="1" applyProtection="1">
      <alignment horizontal="right" vertical="center"/>
    </xf>
    <xf numFmtId="10" fontId="8" fillId="8" borderId="46" xfId="2" applyNumberFormat="1" applyFont="1" applyFill="1" applyBorder="1" applyAlignment="1" applyProtection="1">
      <alignment horizontal="right" vertical="center"/>
    </xf>
    <xf numFmtId="0" fontId="28" fillId="0" borderId="0" xfId="0" applyFont="1"/>
    <xf numFmtId="0" fontId="6" fillId="8" borderId="47" xfId="0" applyFont="1" applyFill="1" applyBorder="1"/>
    <xf numFmtId="0" fontId="6" fillId="0" borderId="48" xfId="0" applyFont="1" applyBorder="1"/>
    <xf numFmtId="0" fontId="6" fillId="8" borderId="49" xfId="0" applyFont="1" applyFill="1" applyBorder="1"/>
    <xf numFmtId="10" fontId="5" fillId="0" borderId="33" xfId="2" applyNumberFormat="1" applyFont="1" applyBorder="1" applyAlignment="1" applyProtection="1">
      <alignment horizontal="right" vertical="center"/>
      <protection locked="0"/>
    </xf>
    <xf numFmtId="0" fontId="5" fillId="8" borderId="33" xfId="0" applyFont="1" applyFill="1" applyBorder="1" applyProtection="1">
      <protection locked="0"/>
    </xf>
    <xf numFmtId="10" fontId="5" fillId="0" borderId="0" xfId="2" applyNumberFormat="1" applyFont="1" applyBorder="1" applyAlignment="1" applyProtection="1">
      <alignment horizontal="right" vertical="center"/>
      <protection locked="0"/>
    </xf>
    <xf numFmtId="10" fontId="5" fillId="8" borderId="50" xfId="2" applyNumberFormat="1" applyFont="1" applyFill="1" applyBorder="1" applyAlignment="1" applyProtection="1">
      <alignment horizontal="right" vertical="center"/>
      <protection locked="0"/>
    </xf>
    <xf numFmtId="10" fontId="5" fillId="8" borderId="33" xfId="2" applyNumberFormat="1" applyFont="1" applyFill="1" applyBorder="1" applyAlignment="1" applyProtection="1">
      <alignment horizontal="right" vertical="center"/>
      <protection locked="0"/>
    </xf>
    <xf numFmtId="5" fontId="5" fillId="0" borderId="33" xfId="1" applyNumberFormat="1" applyFont="1" applyBorder="1" applyAlignment="1" applyProtection="1">
      <alignment horizontal="right" vertical="center"/>
      <protection locked="0"/>
    </xf>
    <xf numFmtId="1" fontId="11" fillId="0" borderId="0" xfId="4" applyNumberFormat="1" applyFont="1" applyBorder="1" applyAlignment="1" applyProtection="1">
      <alignment horizontal="center" vertical="center"/>
    </xf>
    <xf numFmtId="3" fontId="10" fillId="5" borderId="0" xfId="3" applyNumberFormat="1" applyFont="1" applyFill="1" applyAlignment="1">
      <alignment horizontal="center"/>
    </xf>
    <xf numFmtId="10" fontId="17" fillId="5" borderId="0" xfId="3" applyNumberFormat="1" applyFont="1" applyFill="1" applyAlignment="1">
      <alignment horizontal="center"/>
    </xf>
    <xf numFmtId="49" fontId="17" fillId="5" borderId="11" xfId="4" applyNumberFormat="1" applyFont="1" applyFill="1" applyBorder="1" applyAlignment="1" applyProtection="1">
      <alignment horizontal="center" vertical="center"/>
    </xf>
    <xf numFmtId="10" fontId="10" fillId="5" borderId="0" xfId="3" applyNumberFormat="1" applyFont="1" applyFill="1" applyAlignment="1">
      <alignment horizontal="right"/>
    </xf>
    <xf numFmtId="9" fontId="10" fillId="5" borderId="0" xfId="4" applyFont="1" applyFill="1" applyBorder="1" applyAlignment="1" applyProtection="1">
      <alignment horizontal="center" vertical="center"/>
    </xf>
    <xf numFmtId="10" fontId="10" fillId="5" borderId="33" xfId="3" applyNumberFormat="1" applyFont="1" applyFill="1" applyBorder="1" applyAlignment="1">
      <alignment horizontal="center"/>
    </xf>
    <xf numFmtId="10" fontId="10" fillId="5" borderId="33" xfId="3" applyNumberFormat="1" applyFont="1" applyFill="1" applyBorder="1" applyAlignment="1">
      <alignment horizontal="center" vertical="center"/>
    </xf>
    <xf numFmtId="10" fontId="10" fillId="3" borderId="11" xfId="3" applyNumberFormat="1" applyFont="1" applyFill="1" applyBorder="1" applyAlignment="1">
      <alignment horizontal="center"/>
    </xf>
    <xf numFmtId="10" fontId="10" fillId="3" borderId="0" xfId="3" applyNumberFormat="1" applyFont="1" applyFill="1" applyAlignment="1">
      <alignment horizontal="center"/>
    </xf>
    <xf numFmtId="10" fontId="10" fillId="3" borderId="11" xfId="3" applyNumberFormat="1" applyFont="1" applyFill="1" applyBorder="1" applyAlignment="1">
      <alignment horizontal="center" vertical="center"/>
    </xf>
    <xf numFmtId="10" fontId="10" fillId="3" borderId="0" xfId="3" applyNumberFormat="1" applyFont="1" applyFill="1" applyAlignment="1">
      <alignment horizontal="center" vertical="center"/>
    </xf>
    <xf numFmtId="9" fontId="10" fillId="5" borderId="33" xfId="4" applyFont="1" applyFill="1" applyBorder="1" applyAlignment="1" applyProtection="1">
      <alignment horizontal="center" vertical="center"/>
      <protection locked="0"/>
    </xf>
    <xf numFmtId="49" fontId="17" fillId="5" borderId="33" xfId="4" applyNumberFormat="1" applyFont="1" applyFill="1" applyBorder="1" applyAlignment="1" applyProtection="1">
      <alignment horizontal="center" vertical="center"/>
      <protection locked="0"/>
    </xf>
    <xf numFmtId="1" fontId="11" fillId="0" borderId="33" xfId="4" applyNumberFormat="1" applyFont="1" applyBorder="1" applyAlignment="1" applyProtection="1">
      <alignment horizontal="center" vertical="center"/>
      <protection locked="0"/>
    </xf>
    <xf numFmtId="1" fontId="11" fillId="0" borderId="40" xfId="4" applyNumberFormat="1" applyFont="1" applyBorder="1" applyAlignment="1" applyProtection="1">
      <alignment horizontal="center"/>
      <protection locked="0"/>
    </xf>
    <xf numFmtId="1" fontId="11" fillId="0" borderId="33" xfId="4" applyNumberFormat="1" applyFont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/>
      <protection locked="0"/>
    </xf>
    <xf numFmtId="10" fontId="14" fillId="0" borderId="11" xfId="3" applyNumberFormat="1" applyFont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/>
    </xf>
    <xf numFmtId="49" fontId="17" fillId="5" borderId="0" xfId="4" applyNumberFormat="1" applyFont="1" applyFill="1" applyBorder="1" applyAlignment="1" applyProtection="1">
      <alignment horizontal="center" vertical="center"/>
    </xf>
    <xf numFmtId="0" fontId="14" fillId="0" borderId="0" xfId="3" applyFont="1" applyAlignment="1">
      <alignment horizontal="center" vertical="center"/>
    </xf>
    <xf numFmtId="49" fontId="17" fillId="5" borderId="11" xfId="4" applyNumberFormat="1" applyFont="1" applyFill="1" applyBorder="1" applyAlignment="1" applyProtection="1">
      <alignment horizontal="center" vertical="center"/>
      <protection locked="0"/>
    </xf>
    <xf numFmtId="0" fontId="9" fillId="0" borderId="52" xfId="3" applyBorder="1" applyAlignment="1">
      <alignment horizontal="center"/>
    </xf>
    <xf numFmtId="0" fontId="16" fillId="7" borderId="13" xfId="3" applyFont="1" applyFill="1" applyBorder="1" applyAlignment="1">
      <alignment horizontal="center"/>
    </xf>
    <xf numFmtId="49" fontId="17" fillId="5" borderId="53" xfId="4" applyNumberFormat="1" applyFont="1" applyFill="1" applyBorder="1" applyAlignment="1" applyProtection="1">
      <alignment horizontal="center" vertical="center"/>
      <protection locked="0"/>
    </xf>
    <xf numFmtId="49" fontId="31" fillId="5" borderId="50" xfId="4" applyNumberFormat="1" applyFont="1" applyFill="1" applyBorder="1" applyAlignment="1" applyProtection="1">
      <alignment horizontal="center" vertical="center"/>
      <protection locked="0"/>
    </xf>
    <xf numFmtId="0" fontId="32" fillId="0" borderId="0" xfId="3" applyFont="1" applyAlignment="1">
      <alignment horizontal="center"/>
    </xf>
    <xf numFmtId="0" fontId="32" fillId="0" borderId="0" xfId="3" applyFont="1" applyAlignment="1">
      <alignment horizontal="left"/>
    </xf>
    <xf numFmtId="0" fontId="19" fillId="0" borderId="1" xfId="3" applyFont="1" applyBorder="1" applyAlignment="1">
      <alignment horizontal="center"/>
    </xf>
    <xf numFmtId="49" fontId="17" fillId="5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3" applyBorder="1" applyAlignment="1">
      <alignment horizontal="center"/>
    </xf>
    <xf numFmtId="0" fontId="16" fillId="7" borderId="1" xfId="3" applyFont="1" applyFill="1" applyBorder="1" applyAlignment="1">
      <alignment horizontal="center"/>
    </xf>
    <xf numFmtId="49" fontId="17" fillId="5" borderId="1" xfId="4" applyNumberFormat="1" applyFont="1" applyFill="1" applyBorder="1" applyAlignment="1" applyProtection="1">
      <alignment horizontal="center" vertical="center"/>
    </xf>
    <xf numFmtId="10" fontId="30" fillId="7" borderId="1" xfId="4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Border="1" applyAlignment="1">
      <alignment horizontal="left" vertical="center" wrapText="1"/>
    </xf>
    <xf numFmtId="0" fontId="14" fillId="0" borderId="1" xfId="3" applyFont="1" applyBorder="1" applyAlignment="1">
      <alignment vertical="center" wrapText="1"/>
    </xf>
    <xf numFmtId="0" fontId="14" fillId="0" borderId="1" xfId="3" applyFont="1" applyBorder="1" applyAlignment="1">
      <alignment horizontal="center" vertical="center"/>
    </xf>
    <xf numFmtId="0" fontId="9" fillId="2" borderId="59" xfId="3" applyFill="1" applyBorder="1" applyAlignment="1">
      <alignment horizontal="center"/>
    </xf>
    <xf numFmtId="0" fontId="19" fillId="0" borderId="34" xfId="3" applyFont="1" applyBorder="1" applyAlignment="1">
      <alignment horizontal="center"/>
    </xf>
    <xf numFmtId="10" fontId="19" fillId="0" borderId="52" xfId="3" applyNumberFormat="1" applyFont="1" applyBorder="1" applyAlignment="1">
      <alignment horizontal="center"/>
    </xf>
    <xf numFmtId="49" fontId="17" fillId="5" borderId="58" xfId="4" applyNumberFormat="1" applyFont="1" applyFill="1" applyBorder="1" applyAlignment="1" applyProtection="1">
      <alignment horizontal="center" vertical="center"/>
    </xf>
    <xf numFmtId="10" fontId="10" fillId="5" borderId="0" xfId="3" applyNumberFormat="1" applyFont="1" applyFill="1" applyAlignment="1">
      <alignment horizontal="center"/>
    </xf>
    <xf numFmtId="0" fontId="16" fillId="7" borderId="13" xfId="3" applyFont="1" applyFill="1" applyBorder="1" applyAlignment="1">
      <alignment horizontal="center" wrapText="1"/>
    </xf>
    <xf numFmtId="10" fontId="14" fillId="0" borderId="0" xfId="3" applyNumberFormat="1" applyFont="1" applyAlignment="1">
      <alignment horizontal="left" vertical="center" wrapText="1"/>
    </xf>
    <xf numFmtId="10" fontId="30" fillId="7" borderId="11" xfId="4" applyNumberFormat="1" applyFont="1" applyFill="1" applyBorder="1" applyAlignment="1" applyProtection="1">
      <alignment horizontal="left" vertical="center" wrapText="1"/>
    </xf>
    <xf numFmtId="0" fontId="19" fillId="0" borderId="52" xfId="3" applyFont="1" applyBorder="1" applyAlignment="1">
      <alignment horizontal="center"/>
    </xf>
    <xf numFmtId="10" fontId="22" fillId="7" borderId="0" xfId="4" applyNumberFormat="1" applyFont="1" applyFill="1" applyAlignment="1">
      <alignment horizontal="right" vertical="center"/>
    </xf>
    <xf numFmtId="10" fontId="10" fillId="5" borderId="0" xfId="3" applyNumberFormat="1" applyFont="1" applyFill="1"/>
    <xf numFmtId="0" fontId="24" fillId="2" borderId="35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17" fillId="5" borderId="50" xfId="4" applyNumberFormat="1" applyFont="1" applyFill="1" applyBorder="1" applyAlignment="1" applyProtection="1">
      <alignment horizontal="left" vertical="center"/>
      <protection locked="0"/>
    </xf>
    <xf numFmtId="49" fontId="17" fillId="5" borderId="51" xfId="4" applyNumberFormat="1" applyFont="1" applyFill="1" applyBorder="1" applyAlignment="1" applyProtection="1">
      <alignment horizontal="left" vertical="center"/>
      <protection locked="0"/>
    </xf>
    <xf numFmtId="10" fontId="10" fillId="5" borderId="40" xfId="3" applyNumberFormat="1" applyFont="1" applyFill="1" applyBorder="1" applyAlignment="1">
      <alignment horizontal="center" vertical="center"/>
    </xf>
    <xf numFmtId="10" fontId="10" fillId="5" borderId="41" xfId="3" applyNumberFormat="1" applyFont="1" applyFill="1" applyBorder="1" applyAlignment="1">
      <alignment horizontal="center" vertical="center"/>
    </xf>
    <xf numFmtId="10" fontId="30" fillId="7" borderId="0" xfId="4" applyNumberFormat="1" applyFont="1" applyFill="1" applyAlignment="1">
      <alignment horizontal="left" vertical="center" wrapText="1"/>
    </xf>
    <xf numFmtId="10" fontId="30" fillId="7" borderId="11" xfId="4" applyNumberFormat="1" applyFont="1" applyFill="1" applyBorder="1" applyAlignment="1">
      <alignment horizontal="left" vertical="center" wrapText="1"/>
    </xf>
    <xf numFmtId="10" fontId="14" fillId="0" borderId="0" xfId="3" applyNumberFormat="1" applyFont="1" applyAlignment="1">
      <alignment horizontal="left" vertical="center" wrapText="1"/>
    </xf>
    <xf numFmtId="0" fontId="15" fillId="7" borderId="0" xfId="3" applyFont="1" applyFill="1" applyAlignment="1">
      <alignment horizontal="left" vertical="center"/>
    </xf>
    <xf numFmtId="0" fontId="16" fillId="7" borderId="13" xfId="3" applyFont="1" applyFill="1" applyBorder="1" applyAlignment="1">
      <alignment horizontal="center" wrapText="1"/>
    </xf>
    <xf numFmtId="0" fontId="21" fillId="7" borderId="30" xfId="3" applyFont="1" applyFill="1" applyBorder="1" applyAlignment="1">
      <alignment horizontal="center"/>
    </xf>
    <xf numFmtId="0" fontId="21" fillId="7" borderId="31" xfId="3" applyFont="1" applyFill="1" applyBorder="1" applyAlignment="1">
      <alignment horizontal="center"/>
    </xf>
    <xf numFmtId="0" fontId="21" fillId="7" borderId="32" xfId="3" applyFont="1" applyFill="1" applyBorder="1" applyAlignment="1">
      <alignment horizontal="center"/>
    </xf>
    <xf numFmtId="10" fontId="10" fillId="5" borderId="50" xfId="3" applyNumberFormat="1" applyFont="1" applyFill="1" applyBorder="1" applyAlignment="1" applyProtection="1">
      <alignment horizontal="center"/>
      <protection locked="0"/>
    </xf>
    <xf numFmtId="10" fontId="10" fillId="5" borderId="51" xfId="3" applyNumberFormat="1" applyFont="1" applyFill="1" applyBorder="1" applyAlignment="1" applyProtection="1">
      <alignment horizontal="center"/>
      <protection locked="0"/>
    </xf>
    <xf numFmtId="0" fontId="13" fillId="0" borderId="4" xfId="3" applyFont="1" applyBorder="1" applyAlignment="1">
      <alignment horizontal="left" vertical="top" wrapText="1"/>
    </xf>
    <xf numFmtId="0" fontId="13" fillId="0" borderId="7" xfId="3" applyFont="1" applyBorder="1" applyAlignment="1">
      <alignment horizontal="left" vertical="top" wrapText="1"/>
    </xf>
    <xf numFmtId="0" fontId="13" fillId="0" borderId="5" xfId="3" applyFont="1" applyBorder="1" applyAlignment="1">
      <alignment horizontal="left" vertical="top" wrapText="1"/>
    </xf>
    <xf numFmtId="0" fontId="13" fillId="0" borderId="10" xfId="3" applyFont="1" applyBorder="1" applyAlignment="1">
      <alignment horizontal="left" vertical="top" wrapText="1"/>
    </xf>
    <xf numFmtId="0" fontId="13" fillId="0" borderId="9" xfId="3" applyFont="1" applyBorder="1" applyAlignment="1">
      <alignment horizontal="left" vertical="top" wrapText="1"/>
    </xf>
    <xf numFmtId="0" fontId="13" fillId="0" borderId="8" xfId="3" applyFont="1" applyBorder="1" applyAlignment="1">
      <alignment horizontal="left" vertical="top" wrapText="1"/>
    </xf>
    <xf numFmtId="0" fontId="14" fillId="0" borderId="0" xfId="3" applyFont="1" applyAlignment="1">
      <alignment horizontal="left" vertical="center"/>
    </xf>
    <xf numFmtId="0" fontId="16" fillId="7" borderId="13" xfId="3" applyFont="1" applyFill="1" applyBorder="1" applyAlignment="1">
      <alignment horizontal="left"/>
    </xf>
    <xf numFmtId="0" fontId="19" fillId="0" borderId="52" xfId="3" applyFont="1" applyBorder="1" applyAlignment="1">
      <alignment horizontal="center"/>
    </xf>
    <xf numFmtId="10" fontId="10" fillId="5" borderId="56" xfId="3" applyNumberFormat="1" applyFont="1" applyFill="1" applyBorder="1" applyAlignment="1" applyProtection="1">
      <alignment horizontal="center"/>
      <protection locked="0"/>
    </xf>
    <xf numFmtId="10" fontId="10" fillId="5" borderId="57" xfId="3" applyNumberFormat="1" applyFont="1" applyFill="1" applyBorder="1" applyAlignment="1" applyProtection="1">
      <alignment horizontal="center"/>
      <protection locked="0"/>
    </xf>
    <xf numFmtId="10" fontId="10" fillId="5" borderId="54" xfId="3" applyNumberFormat="1" applyFont="1" applyFill="1" applyBorder="1" applyAlignment="1" applyProtection="1">
      <alignment horizontal="center"/>
      <protection locked="0"/>
    </xf>
    <xf numFmtId="10" fontId="10" fillId="5" borderId="55" xfId="3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6">
    <cellStyle name="Comma" xfId="1" builtinId="3"/>
    <cellStyle name="Comma 2" xfId="5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U$2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2816626</xdr:colOff>
      <xdr:row>30</xdr:row>
      <xdr:rowOff>168826</xdr:rowOff>
    </xdr:from>
    <xdr:ext cx="1115770" cy="397698"/>
    <xdr:pic>
      <xdr:nvPicPr>
        <xdr:cNvPr id="2" name="Picture 2" descr="logo b&amp;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04769" y="9122326"/>
          <a:ext cx="1115770" cy="397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66675</xdr:rowOff>
        </xdr:from>
        <xdr:to>
          <xdr:col>9</xdr:col>
          <xdr:colOff>9525</xdr:colOff>
          <xdr:row>35</xdr:row>
          <xdr:rowOff>142875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35</xdr:row>
          <xdr:rowOff>238125</xdr:rowOff>
        </xdr:from>
        <xdr:to>
          <xdr:col>9</xdr:col>
          <xdr:colOff>9525</xdr:colOff>
          <xdr:row>37</xdr:row>
          <xdr:rowOff>28575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38</xdr:row>
          <xdr:rowOff>28575</xdr:rowOff>
        </xdr:from>
        <xdr:to>
          <xdr:col>6</xdr:col>
          <xdr:colOff>676275</xdr:colOff>
          <xdr:row>39</xdr:row>
          <xdr:rowOff>142875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M35"/>
  <sheetViews>
    <sheetView showGridLines="0" zoomScaleNormal="100" workbookViewId="0">
      <selection activeCell="H18" sqref="H18"/>
    </sheetView>
  </sheetViews>
  <sheetFormatPr defaultRowHeight="25.15" customHeight="1"/>
  <cols>
    <col min="1" max="1" width="12.28515625" customWidth="1"/>
    <col min="2" max="2" width="24.7109375" customWidth="1"/>
    <col min="3" max="3" width="19.28515625" customWidth="1"/>
    <col min="4" max="4" width="30.140625" bestFit="1" customWidth="1"/>
    <col min="5" max="5" width="19.28515625" style="7" customWidth="1"/>
    <col min="6" max="6" width="17" customWidth="1"/>
    <col min="8" max="8" width="16.5703125" customWidth="1"/>
    <col min="9" max="9" width="22.5703125" customWidth="1"/>
    <col min="10" max="10" width="16.5703125" customWidth="1"/>
    <col min="11" max="11" width="9.7109375" customWidth="1"/>
    <col min="13" max="13" width="14.28515625" hidden="1" customWidth="1"/>
  </cols>
  <sheetData>
    <row r="1" spans="1:13" ht="30.6" customHeight="1" thickTop="1" thickBot="1">
      <c r="A1" s="172" t="s">
        <v>0</v>
      </c>
      <c r="B1" s="173"/>
      <c r="C1" s="173"/>
      <c r="D1" s="173"/>
      <c r="E1" s="173"/>
      <c r="F1" s="174"/>
    </row>
    <row r="2" spans="1:13" ht="16.5" thickTop="1" thickBot="1">
      <c r="A2" s="49"/>
      <c r="E2" s="48"/>
      <c r="F2" s="50"/>
    </row>
    <row r="3" spans="1:13" ht="23.25" thickBot="1">
      <c r="A3" s="49"/>
      <c r="C3" s="175" t="s">
        <v>1</v>
      </c>
      <c r="D3" s="176"/>
      <c r="E3" s="48"/>
      <c r="F3" s="50"/>
      <c r="M3" s="15" t="s">
        <v>2</v>
      </c>
    </row>
    <row r="4" spans="1:13" ht="25.15" customHeight="1" thickBot="1">
      <c r="A4" s="49"/>
      <c r="C4" s="108" t="s">
        <v>3</v>
      </c>
      <c r="D4" s="109" t="s">
        <v>4</v>
      </c>
      <c r="E4" s="48"/>
      <c r="F4" s="50"/>
      <c r="M4" s="13">
        <v>1</v>
      </c>
    </row>
    <row r="5" spans="1:13" ht="25.15" customHeight="1" thickTop="1" thickBot="1">
      <c r="A5" s="49"/>
      <c r="C5" s="122">
        <v>1898676</v>
      </c>
      <c r="D5" s="117">
        <v>9.6799999999999997E-2</v>
      </c>
      <c r="E5" s="48"/>
      <c r="F5" s="50"/>
      <c r="M5" s="13">
        <v>2</v>
      </c>
    </row>
    <row r="6" spans="1:13" ht="25.15" customHeight="1" thickTop="1" thickBot="1">
      <c r="A6" s="49"/>
      <c r="C6" s="113"/>
      <c r="D6" s="113"/>
      <c r="E6" s="48"/>
      <c r="F6" s="50"/>
      <c r="M6" s="13">
        <v>3</v>
      </c>
    </row>
    <row r="7" spans="1:13" ht="25.15" customHeight="1" thickBot="1">
      <c r="A7" s="49"/>
      <c r="C7" s="177" t="s">
        <v>5</v>
      </c>
      <c r="D7" s="178"/>
      <c r="E7" s="48"/>
      <c r="F7" s="50"/>
      <c r="M7" s="13">
        <v>4</v>
      </c>
    </row>
    <row r="8" spans="1:13" ht="25.15" customHeight="1" thickBot="1">
      <c r="A8" s="49"/>
      <c r="B8" s="95"/>
      <c r="C8" s="108" t="s">
        <v>6</v>
      </c>
      <c r="D8" s="109" t="s">
        <v>7</v>
      </c>
      <c r="E8" s="97" t="s">
        <v>8</v>
      </c>
      <c r="F8" s="50"/>
      <c r="M8" s="13">
        <v>5</v>
      </c>
    </row>
    <row r="9" spans="1:13" ht="25.15" customHeight="1" thickTop="1" thickBot="1">
      <c r="A9" s="49"/>
      <c r="B9" s="114" t="s">
        <v>9</v>
      </c>
      <c r="C9" s="120">
        <v>0.09</v>
      </c>
      <c r="D9" s="121">
        <v>0.09</v>
      </c>
      <c r="E9" s="112">
        <f>D9-C9</f>
        <v>0</v>
      </c>
      <c r="F9" s="50"/>
      <c r="M9" s="13">
        <v>6</v>
      </c>
    </row>
    <row r="10" spans="1:13" ht="25.15" customHeight="1" thickTop="1" thickBot="1">
      <c r="A10" s="49"/>
      <c r="B10" s="115" t="s">
        <v>10</v>
      </c>
      <c r="C10" s="119">
        <v>0.1</v>
      </c>
      <c r="D10" s="117">
        <v>0.11</v>
      </c>
      <c r="E10" s="111">
        <f>D10-C10</f>
        <v>9.999999999999995E-3</v>
      </c>
      <c r="F10" s="50"/>
      <c r="M10" s="13">
        <v>7</v>
      </c>
    </row>
    <row r="11" spans="1:13" ht="25.15" customHeight="1" thickTop="1" thickBot="1">
      <c r="A11" s="49"/>
      <c r="B11" s="116" t="s">
        <v>11</v>
      </c>
      <c r="C11" s="118">
        <v>2</v>
      </c>
      <c r="D11" s="118">
        <v>2</v>
      </c>
      <c r="E11" s="110">
        <f>D11-C11</f>
        <v>0</v>
      </c>
      <c r="F11" s="50"/>
      <c r="M11" s="13">
        <v>8</v>
      </c>
    </row>
    <row r="12" spans="1:13" ht="25.15" customHeight="1" thickBot="1">
      <c r="A12" s="49"/>
      <c r="E12" s="48"/>
      <c r="F12" s="50"/>
      <c r="M12" s="13">
        <v>9</v>
      </c>
    </row>
    <row r="13" spans="1:13" ht="25.15" customHeight="1" thickBot="1">
      <c r="A13" s="49"/>
      <c r="C13" s="175" t="s">
        <v>12</v>
      </c>
      <c r="D13" s="176"/>
      <c r="E13" s="48"/>
      <c r="F13" s="50"/>
      <c r="K13" s="6"/>
      <c r="M13" s="13">
        <v>10</v>
      </c>
    </row>
    <row r="14" spans="1:13" ht="25.15" customHeight="1" thickBot="1">
      <c r="A14" s="49"/>
      <c r="B14" s="95"/>
      <c r="C14" s="96" t="s">
        <v>6</v>
      </c>
      <c r="D14" s="97" t="s">
        <v>7</v>
      </c>
      <c r="E14" s="97" t="s">
        <v>8</v>
      </c>
      <c r="F14" s="50"/>
      <c r="K14" s="6"/>
    </row>
    <row r="15" spans="1:13" ht="25.15" customHeight="1" thickTop="1">
      <c r="A15" s="49"/>
      <c r="B15" s="57" t="s">
        <v>13</v>
      </c>
      <c r="C15" s="58">
        <f>'Scen Details'!G16</f>
        <v>41789.858760000061</v>
      </c>
      <c r="D15" s="58">
        <f>'Scen Details'!P16</f>
        <v>64348.028316000069</v>
      </c>
      <c r="E15" s="59">
        <f>D15-C15</f>
        <v>22558.169556000008</v>
      </c>
      <c r="F15" s="50"/>
      <c r="K15" s="6"/>
    </row>
    <row r="16" spans="1:13" ht="25.15" customHeight="1">
      <c r="A16" s="49"/>
      <c r="B16" s="54" t="s">
        <v>14</v>
      </c>
      <c r="C16" s="11">
        <f>'Scen Details'!G17</f>
        <v>1.0071382813214985E-2</v>
      </c>
      <c r="D16" s="11">
        <f>'Scen Details'!P17</f>
        <v>1.55079161709527E-2</v>
      </c>
      <c r="E16" s="55">
        <f>D16-C16</f>
        <v>5.4365333577377148E-3</v>
      </c>
      <c r="F16" s="50"/>
      <c r="K16" s="6"/>
    </row>
    <row r="17" spans="1:13" ht="25.15" customHeight="1" thickBot="1">
      <c r="A17" s="49"/>
      <c r="B17" s="56" t="s">
        <v>15</v>
      </c>
      <c r="C17" s="60">
        <f>SUMIF('Scen Details'!$A$5:$A$14,'Earn Impact Capital'!C11,'Scen Details'!$C$5:$C$14)</f>
        <v>2255816.9556000005</v>
      </c>
      <c r="D17" s="60">
        <f>SUMIF('Scen Details'!$A$5:$A$14,'Earn Impact Capital'!D11,'Scen Details'!$L$5:$L$14)</f>
        <v>2255816.9556000005</v>
      </c>
      <c r="E17" s="61">
        <f>D17-C17</f>
        <v>0</v>
      </c>
      <c r="F17" s="50"/>
      <c r="K17" s="6"/>
    </row>
    <row r="18" spans="1:13" ht="25.15" customHeight="1" thickBot="1">
      <c r="A18" s="51"/>
      <c r="B18" s="52"/>
      <c r="C18" s="52"/>
      <c r="D18" s="52"/>
      <c r="E18" s="52"/>
      <c r="F18" s="53"/>
      <c r="K18" s="6"/>
    </row>
    <row r="19" spans="1:13" ht="25.15" customHeight="1" thickTop="1">
      <c r="K19" s="6"/>
    </row>
    <row r="20" spans="1:13" ht="25.15" customHeight="1">
      <c r="K20" s="6"/>
    </row>
    <row r="21" spans="1:13" ht="25.15" customHeight="1">
      <c r="K21" s="6"/>
    </row>
    <row r="22" spans="1:13" ht="25.15" customHeight="1">
      <c r="K22" s="6"/>
    </row>
    <row r="23" spans="1:13" ht="25.15" customHeight="1">
      <c r="K23" s="6"/>
    </row>
    <row r="24" spans="1:13" ht="25.15" customHeight="1" thickBot="1"/>
    <row r="25" spans="1:13" ht="25.15" customHeight="1" thickTop="1" thickBot="1">
      <c r="M25" s="10"/>
    </row>
    <row r="27" spans="1:13" ht="25.15" customHeight="1">
      <c r="I27" s="5"/>
    </row>
    <row r="28" spans="1:13" ht="25.15" customHeight="1">
      <c r="E28"/>
    </row>
    <row r="29" spans="1:13" ht="25.15" customHeight="1">
      <c r="E29"/>
    </row>
    <row r="30" spans="1:13" ht="25.15" customHeight="1">
      <c r="E30"/>
    </row>
    <row r="31" spans="1:13" ht="25.15" customHeight="1">
      <c r="E31"/>
    </row>
    <row r="32" spans="1:13" ht="25.15" customHeight="1">
      <c r="E32"/>
    </row>
    <row r="33" spans="5:5" ht="25.15" customHeight="1">
      <c r="E33"/>
    </row>
    <row r="34" spans="5:5" ht="25.15" customHeight="1">
      <c r="E34"/>
    </row>
    <row r="35" spans="5:5" ht="25.15" customHeight="1">
      <c r="E35"/>
    </row>
  </sheetData>
  <sheetProtection algorithmName="SHA-512" hashValue="LOC5FUMIUOxGFLg8oFe1n3dlNthmNr8FshSqGW5k3SU70KPhWR5oxvv+uyGhX6ksPYTNtDtUWTpy1/5Kei2yFQ==" saltValue="xBXWdshr4frd1/xM8D24sQ==" spinCount="100000" sheet="1" objects="1" scenarios="1"/>
  <mergeCells count="4">
    <mergeCell ref="A1:F1"/>
    <mergeCell ref="C3:D3"/>
    <mergeCell ref="C7:D7"/>
    <mergeCell ref="C13:D13"/>
  </mergeCells>
  <dataValidations count="2">
    <dataValidation type="list" allowBlank="1" showInputMessage="1" showErrorMessage="1" sqref="C11" xr:uid="{00000000-0002-0000-0000-000000000000}">
      <formula1>M$4:M$13</formula1>
    </dataValidation>
    <dataValidation type="list" allowBlank="1" showInputMessage="1" showErrorMessage="1" sqref="D11" xr:uid="{00000000-0002-0000-0000-000001000000}">
      <formula1>M$4:M$13</formula1>
    </dataValidation>
  </dataValidations>
  <printOptions horizontalCentered="1" verticalCentered="1"/>
  <pageMargins left="0.25" right="0.25" top="0.25" bottom="0.25" header="0.25" footer="0.25"/>
  <pageSetup orientation="landscape" horizontalDpi="300" verticalDpi="300" r:id="rId1"/>
  <headerFooter>
    <oddFooter>&amp;L&amp;"Arial,Regular"&amp;10&amp;G
800.238.7575 | cmyers.com&amp;R&amp;"Arial,Regular"&amp;10Proprietary property of c. myers corporation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theme="1"/>
    <pageSetUpPr fitToPage="1"/>
  </sheetPr>
  <dimension ref="C1:AJ43"/>
  <sheetViews>
    <sheetView showGridLines="0" tabSelected="1" topLeftCell="A3" zoomScale="70" zoomScaleNormal="70" zoomScaleSheetLayoutView="70" workbookViewId="0">
      <selection activeCell="AQ31" sqref="AQ31"/>
    </sheetView>
  </sheetViews>
  <sheetFormatPr defaultColWidth="9.140625" defaultRowHeight="20.25"/>
  <cols>
    <col min="1" max="1" width="7.140625" style="19" customWidth="1"/>
    <col min="2" max="2" width="6.7109375" style="19" customWidth="1"/>
    <col min="3" max="3" width="1.28515625" style="19" customWidth="1"/>
    <col min="4" max="4" width="35.28515625" style="19" customWidth="1"/>
    <col min="5" max="5" width="31.140625" style="19" customWidth="1"/>
    <col min="6" max="6" width="24.5703125" style="19" customWidth="1"/>
    <col min="7" max="7" width="10.28515625" style="19" customWidth="1"/>
    <col min="8" max="8" width="1.7109375" style="19" customWidth="1"/>
    <col min="9" max="9" width="17.140625" style="19" customWidth="1"/>
    <col min="10" max="10" width="10.28515625" style="19" customWidth="1"/>
    <col min="11" max="11" width="1.5703125" style="19" customWidth="1"/>
    <col min="12" max="12" width="23" style="19" customWidth="1"/>
    <col min="13" max="13" width="12.28515625" style="19" customWidth="1"/>
    <col min="14" max="14" width="18.7109375" style="19" customWidth="1"/>
    <col min="15" max="15" width="2.7109375" style="19" customWidth="1"/>
    <col min="16" max="16" width="56.7109375" style="19" customWidth="1"/>
    <col min="17" max="17" width="1.28515625" style="19" customWidth="1"/>
    <col min="18" max="18" width="11.85546875" style="19" customWidth="1"/>
    <col min="19" max="19" width="11.85546875" style="19" hidden="1" customWidth="1"/>
    <col min="20" max="20" width="13.5703125" style="19" hidden="1" customWidth="1"/>
    <col min="21" max="21" width="17.140625" style="19" hidden="1" customWidth="1"/>
    <col min="22" max="22" width="9.140625" style="19" hidden="1" customWidth="1"/>
    <col min="23" max="23" width="9.140625" style="19" customWidth="1"/>
    <col min="24" max="24" width="40.7109375" style="21" hidden="1" customWidth="1"/>
    <col min="25" max="25" width="13.7109375" style="20" hidden="1" customWidth="1"/>
    <col min="26" max="26" width="9.140625" style="19" hidden="1" customWidth="1"/>
    <col min="27" max="27" width="14.28515625" style="19" hidden="1" customWidth="1"/>
    <col min="28" max="29" width="9.85546875" style="19" hidden="1" customWidth="1"/>
    <col min="30" max="30" width="9.140625" style="19" hidden="1" customWidth="1"/>
    <col min="31" max="31" width="9.85546875" style="19" hidden="1" customWidth="1"/>
    <col min="32" max="33" width="9.140625" style="19" hidden="1" customWidth="1"/>
    <col min="34" max="34" width="9.140625" style="19" collapsed="1"/>
    <col min="35" max="16384" width="9.140625" style="19"/>
  </cols>
  <sheetData>
    <row r="1" spans="3:36" ht="3" hidden="1" customHeight="1"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T1" s="19" t="s">
        <v>16</v>
      </c>
      <c r="U1" s="20" t="s">
        <v>17</v>
      </c>
    </row>
    <row r="2" spans="3:36" ht="13.5" hidden="1" customHeight="1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T2" s="45">
        <f>E19-E17</f>
        <v>0</v>
      </c>
      <c r="U2" s="45">
        <f>(E17+E19)/2</f>
        <v>0</v>
      </c>
    </row>
    <row r="3" spans="3:36" ht="13.5" customHeight="1" thickBot="1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T3" s="45"/>
      <c r="U3" s="45"/>
    </row>
    <row r="4" spans="3:36" ht="34.5" thickBot="1">
      <c r="C4" s="188" t="s">
        <v>18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0"/>
      <c r="T4" s="19" t="s">
        <v>19</v>
      </c>
      <c r="U4" s="19" t="s">
        <v>20</v>
      </c>
      <c r="V4" s="19" t="s">
        <v>21</v>
      </c>
    </row>
    <row r="5" spans="3:36" ht="6" hidden="1" customHeight="1">
      <c r="C5" s="44"/>
      <c r="D5" s="46"/>
      <c r="E5" s="43"/>
      <c r="P5" s="42"/>
      <c r="Q5" s="42"/>
    </row>
    <row r="6" spans="3:36" s="22" customFormat="1" ht="24.95" customHeight="1" thickTop="1" thickBot="1">
      <c r="C6" s="152"/>
      <c r="D6" s="169" t="s">
        <v>22</v>
      </c>
      <c r="E6" s="163" t="s">
        <v>23</v>
      </c>
      <c r="F6" s="201" t="s">
        <v>24</v>
      </c>
      <c r="G6" s="201"/>
      <c r="H6" s="169"/>
      <c r="I6" s="169"/>
      <c r="J6" s="169"/>
      <c r="K6" s="169"/>
      <c r="L6" s="169"/>
      <c r="M6" s="169"/>
      <c r="N6" s="169"/>
      <c r="O6" s="169"/>
      <c r="P6" s="169" t="s">
        <v>25</v>
      </c>
      <c r="Q6" s="162"/>
      <c r="R6" s="19"/>
      <c r="S6" s="19"/>
      <c r="T6" s="19" t="s">
        <v>26</v>
      </c>
      <c r="U6" s="19" t="s">
        <v>27</v>
      </c>
      <c r="V6" s="19" t="s">
        <v>28</v>
      </c>
      <c r="W6" s="19"/>
      <c r="Z6" s="19"/>
      <c r="AA6" s="19"/>
    </row>
    <row r="7" spans="3:36" ht="24.95" customHeight="1" thickTop="1" thickBot="1">
      <c r="C7" s="153"/>
      <c r="D7" s="124">
        <f>'Earn Impact Capital'!C5</f>
        <v>1898676</v>
      </c>
      <c r="E7" s="124">
        <f>'Earn Impact Capital'!C5*'Earn Impact Capital'!D5</f>
        <v>183791.83679999999</v>
      </c>
      <c r="F7" s="191">
        <v>0.06</v>
      </c>
      <c r="G7" s="192"/>
      <c r="H7" s="125"/>
      <c r="I7" s="125"/>
      <c r="J7" s="125"/>
      <c r="K7" s="125"/>
      <c r="L7" s="125"/>
      <c r="M7" s="125"/>
      <c r="N7" s="125"/>
      <c r="O7" s="125"/>
      <c r="P7" s="149" t="s">
        <v>29</v>
      </c>
      <c r="Q7" s="148"/>
      <c r="T7" s="19" t="s">
        <v>30</v>
      </c>
      <c r="U7" s="19" t="s">
        <v>31</v>
      </c>
      <c r="V7" s="19" t="s">
        <v>32</v>
      </c>
    </row>
    <row r="8" spans="3:36" ht="16.5" customHeight="1" thickTop="1" thickBot="1">
      <c r="C8" s="154"/>
      <c r="D8" s="40"/>
      <c r="E8" s="40"/>
      <c r="F8" s="41"/>
      <c r="G8" s="40"/>
      <c r="H8" s="40"/>
      <c r="I8" s="40"/>
      <c r="J8" s="40"/>
      <c r="K8" s="40"/>
      <c r="L8" s="40"/>
      <c r="M8" s="40"/>
      <c r="N8" s="40"/>
      <c r="O8" s="40"/>
      <c r="P8" s="146"/>
      <c r="Q8" s="39"/>
      <c r="U8" s="19" t="s">
        <v>33</v>
      </c>
      <c r="V8" s="19" t="s">
        <v>34</v>
      </c>
    </row>
    <row r="9" spans="3:36" s="22" customFormat="1" ht="41.25" thickBot="1">
      <c r="C9" s="155"/>
      <c r="D9" s="200" t="s">
        <v>35</v>
      </c>
      <c r="E9" s="200"/>
      <c r="F9" s="187" t="s">
        <v>36</v>
      </c>
      <c r="G9" s="187"/>
      <c r="H9" s="166"/>
      <c r="I9" s="187" t="s">
        <v>37</v>
      </c>
      <c r="J9" s="187"/>
      <c r="K9" s="166"/>
      <c r="L9" s="166" t="s">
        <v>38</v>
      </c>
      <c r="M9" s="147" t="s">
        <v>19</v>
      </c>
      <c r="N9" s="166" t="s">
        <v>39</v>
      </c>
      <c r="O9" s="166"/>
      <c r="P9" s="38" t="s">
        <v>40</v>
      </c>
      <c r="Q9" s="38"/>
      <c r="R9" s="19"/>
      <c r="S9" s="19"/>
      <c r="T9" s="19"/>
      <c r="U9" s="19"/>
      <c r="V9" s="19" t="s">
        <v>41</v>
      </c>
      <c r="W9" s="19"/>
      <c r="X9" s="83"/>
      <c r="Y9" s="84" t="s">
        <v>42</v>
      </c>
      <c r="Z9" s="84" t="s">
        <v>43</v>
      </c>
      <c r="AA9" s="84"/>
      <c r="AB9" s="84" t="s">
        <v>26</v>
      </c>
      <c r="AC9" s="84" t="s">
        <v>43</v>
      </c>
      <c r="AD9" s="84"/>
      <c r="AE9" s="84" t="s">
        <v>30</v>
      </c>
      <c r="AF9" s="84" t="s">
        <v>43</v>
      </c>
      <c r="AG9" s="84"/>
    </row>
    <row r="10" spans="3:36" s="22" customFormat="1" ht="12" customHeight="1" thickTop="1" thickBot="1">
      <c r="C10" s="164"/>
      <c r="D10" s="142"/>
      <c r="E10" s="142"/>
      <c r="F10" s="127"/>
      <c r="G10" s="165"/>
      <c r="H10" s="165"/>
      <c r="I10" s="127"/>
      <c r="J10" s="165"/>
      <c r="K10" s="165"/>
      <c r="L10" s="128"/>
      <c r="M10" s="37"/>
      <c r="N10" s="127"/>
      <c r="O10" s="127"/>
      <c r="P10" s="143"/>
      <c r="Q10" s="126"/>
      <c r="R10" s="19"/>
      <c r="S10" s="19"/>
      <c r="T10" s="19"/>
      <c r="U10" s="19"/>
      <c r="V10" s="19"/>
      <c r="W10" s="19"/>
      <c r="X10" s="21"/>
      <c r="Y10" s="82"/>
      <c r="AB10" s="82"/>
      <c r="AE10" s="82"/>
    </row>
    <row r="11" spans="3:36" s="22" customFormat="1" ht="24.6" customHeight="1" thickTop="1" thickBot="1">
      <c r="C11" s="153"/>
      <c r="D11" s="179" t="s">
        <v>44</v>
      </c>
      <c r="E11" s="180"/>
      <c r="F11" s="171">
        <f t="shared" ref="F11:F20" si="0">IF(N11="Yes",I11*L11,0)</f>
        <v>1.4999999999999999E-2</v>
      </c>
      <c r="G11" s="171"/>
      <c r="H11" s="165"/>
      <c r="I11" s="191">
        <v>1.4999999999999999E-2</v>
      </c>
      <c r="J11" s="192"/>
      <c r="K11" s="165"/>
      <c r="L11" s="135">
        <v>1</v>
      </c>
      <c r="M11" s="136" t="s">
        <v>26</v>
      </c>
      <c r="N11" s="165" t="str">
        <f t="shared" ref="N11:N20" si="1">IF($U$24="Yes","Yes",IF($U$26="Yes",AA11,IF(AND($U$28="Yes",OR(AD11="Yes",AG11="Yes")),"Yes","No")))</f>
        <v>Yes</v>
      </c>
      <c r="O11" s="127"/>
      <c r="P11" s="136" t="s">
        <v>29</v>
      </c>
      <c r="Q11" s="145"/>
      <c r="R11" s="19"/>
      <c r="S11" s="19"/>
      <c r="T11" s="19" t="str">
        <f t="shared" ref="T11:T17" si="2">IF(N11="Yes",M11,"")</f>
        <v>Risk</v>
      </c>
      <c r="U11" s="19"/>
      <c r="V11" s="19" t="s">
        <v>45</v>
      </c>
      <c r="W11" s="19"/>
      <c r="X11" s="91" t="str">
        <f t="shared" ref="X11:X17" si="3">D11</f>
        <v>Interest Rate Risk</v>
      </c>
      <c r="Y11" s="92">
        <f t="shared" ref="Y11:Y17" si="4">I11*L11</f>
        <v>1.4999999999999999E-2</v>
      </c>
      <c r="Z11" s="93">
        <f t="shared" ref="Z11:Z20" si="5">RANK(Y11,$Y$11:$Y$20)</f>
        <v>1</v>
      </c>
      <c r="AA11" s="93" t="str">
        <f t="shared" ref="AA11:AA20" si="6">IF(Z11&lt;=$E$37,"Yes","No")</f>
        <v>Yes</v>
      </c>
      <c r="AB11" s="92">
        <f t="shared" ref="AB11:AB17" si="7">IF(M11="Risk",L11*I11,0)</f>
        <v>1.4999999999999999E-2</v>
      </c>
      <c r="AC11" s="93">
        <f t="shared" ref="AC11:AC20" si="8">RANK(AB11,AB$11:AB$20)</f>
        <v>1</v>
      </c>
      <c r="AD11" s="93" t="str">
        <f t="shared" ref="AD11:AD20" si="9">IF(AC11&lt;=$E$39,"Yes","No")</f>
        <v>Yes</v>
      </c>
      <c r="AE11" s="92">
        <f t="shared" ref="AE11:AE17" si="10">IF(M11="Risk",0,L11*I11)</f>
        <v>0</v>
      </c>
      <c r="AF11" s="93">
        <f t="shared" ref="AF11:AF20" si="11">RANK(AE11,AE$11:AE$20)</f>
        <v>5</v>
      </c>
      <c r="AG11" s="94" t="str">
        <f t="shared" ref="AG11:AG20" si="12">IF(AF11&lt;=$E$40,"Yes","No")</f>
        <v>No</v>
      </c>
    </row>
    <row r="12" spans="3:36" s="22" customFormat="1" ht="24.6" customHeight="1" thickTop="1" thickBot="1">
      <c r="C12" s="153"/>
      <c r="D12" s="179" t="s">
        <v>46</v>
      </c>
      <c r="E12" s="180"/>
      <c r="F12" s="171">
        <f t="shared" si="0"/>
        <v>0.01</v>
      </c>
      <c r="G12" s="171"/>
      <c r="H12" s="165"/>
      <c r="I12" s="204">
        <v>0.01</v>
      </c>
      <c r="J12" s="205"/>
      <c r="K12" s="165"/>
      <c r="L12" s="135">
        <f>L11</f>
        <v>1</v>
      </c>
      <c r="M12" s="136" t="s">
        <v>26</v>
      </c>
      <c r="N12" s="165" t="str">
        <f t="shared" si="1"/>
        <v>Yes</v>
      </c>
      <c r="O12" s="127"/>
      <c r="P12" s="136" t="s">
        <v>29</v>
      </c>
      <c r="Q12" s="145"/>
      <c r="R12" s="19"/>
      <c r="S12" s="19"/>
      <c r="T12" s="19" t="str">
        <f t="shared" si="2"/>
        <v>Risk</v>
      </c>
      <c r="U12" s="19"/>
      <c r="V12" s="19" t="s">
        <v>47</v>
      </c>
      <c r="W12" s="19"/>
      <c r="X12" s="85" t="str">
        <f t="shared" si="3"/>
        <v>Additional Credit Risk</v>
      </c>
      <c r="Y12" s="82">
        <f t="shared" si="4"/>
        <v>0.01</v>
      </c>
      <c r="Z12" s="22">
        <f t="shared" si="5"/>
        <v>2</v>
      </c>
      <c r="AA12" s="22" t="str">
        <f t="shared" si="6"/>
        <v>Yes</v>
      </c>
      <c r="AB12" s="82">
        <f t="shared" si="7"/>
        <v>0.01</v>
      </c>
      <c r="AC12" s="22">
        <f t="shared" si="8"/>
        <v>2</v>
      </c>
      <c r="AD12" s="22" t="str">
        <f t="shared" si="9"/>
        <v>Yes</v>
      </c>
      <c r="AE12" s="82">
        <f t="shared" si="10"/>
        <v>0</v>
      </c>
      <c r="AF12" s="22">
        <f t="shared" si="11"/>
        <v>5</v>
      </c>
      <c r="AG12" s="86" t="str">
        <f t="shared" si="12"/>
        <v>No</v>
      </c>
    </row>
    <row r="13" spans="3:36" s="22" customFormat="1" ht="24.6" customHeight="1" thickTop="1" thickBot="1">
      <c r="C13" s="153"/>
      <c r="D13" s="179" t="s">
        <v>48</v>
      </c>
      <c r="E13" s="180"/>
      <c r="F13" s="171">
        <f t="shared" si="0"/>
        <v>2.5000000000000001E-3</v>
      </c>
      <c r="G13" s="171"/>
      <c r="H13" s="165"/>
      <c r="I13" s="191">
        <v>2.5000000000000001E-3</v>
      </c>
      <c r="J13" s="192"/>
      <c r="K13" s="165"/>
      <c r="L13" s="135">
        <f t="shared" ref="L13:L20" si="13">L12</f>
        <v>1</v>
      </c>
      <c r="M13" s="136" t="s">
        <v>26</v>
      </c>
      <c r="N13" s="165" t="str">
        <f t="shared" si="1"/>
        <v>Yes</v>
      </c>
      <c r="O13" s="127"/>
      <c r="P13" s="136" t="s">
        <v>29</v>
      </c>
      <c r="Q13" s="145"/>
      <c r="R13" s="19"/>
      <c r="S13" s="19"/>
      <c r="T13" s="19" t="str">
        <f t="shared" si="2"/>
        <v>Risk</v>
      </c>
      <c r="U13" s="19"/>
      <c r="V13" s="19" t="s">
        <v>49</v>
      </c>
      <c r="W13" s="19"/>
      <c r="X13" s="91" t="str">
        <f t="shared" si="3"/>
        <v>Regulatory Risk</v>
      </c>
      <c r="Y13" s="92">
        <f t="shared" si="4"/>
        <v>2.5000000000000001E-3</v>
      </c>
      <c r="Z13" s="93">
        <f t="shared" si="5"/>
        <v>9</v>
      </c>
      <c r="AA13" s="93" t="str">
        <f t="shared" si="6"/>
        <v>No</v>
      </c>
      <c r="AB13" s="92">
        <f t="shared" si="7"/>
        <v>2.5000000000000001E-3</v>
      </c>
      <c r="AC13" s="93">
        <f t="shared" si="8"/>
        <v>5</v>
      </c>
      <c r="AD13" s="93" t="str">
        <f t="shared" si="9"/>
        <v>No</v>
      </c>
      <c r="AE13" s="92">
        <f t="shared" si="10"/>
        <v>0</v>
      </c>
      <c r="AF13" s="93">
        <f t="shared" si="11"/>
        <v>5</v>
      </c>
      <c r="AG13" s="94" t="str">
        <f t="shared" si="12"/>
        <v>No</v>
      </c>
    </row>
    <row r="14" spans="3:36" s="22" customFormat="1" ht="24.6" customHeight="1" thickTop="1" thickBot="1">
      <c r="C14" s="153"/>
      <c r="D14" s="179" t="s">
        <v>50</v>
      </c>
      <c r="E14" s="180"/>
      <c r="F14" s="171">
        <f t="shared" si="0"/>
        <v>3.5000000000000001E-3</v>
      </c>
      <c r="G14" s="171"/>
      <c r="H14" s="165"/>
      <c r="I14" s="191">
        <v>3.5000000000000001E-3</v>
      </c>
      <c r="J14" s="192"/>
      <c r="K14" s="165"/>
      <c r="L14" s="135">
        <f t="shared" si="13"/>
        <v>1</v>
      </c>
      <c r="M14" s="136" t="s">
        <v>26</v>
      </c>
      <c r="N14" s="165" t="str">
        <f t="shared" si="1"/>
        <v>Yes</v>
      </c>
      <c r="O14" s="127"/>
      <c r="P14" s="136" t="s">
        <v>29</v>
      </c>
      <c r="Q14" s="145"/>
      <c r="R14" s="19"/>
      <c r="S14" s="19"/>
      <c r="T14" s="19" t="str">
        <f t="shared" si="2"/>
        <v>Risk</v>
      </c>
      <c r="U14" s="19"/>
      <c r="V14" s="19"/>
      <c r="W14" s="19"/>
      <c r="X14" s="85" t="str">
        <f t="shared" si="3"/>
        <v>CECL</v>
      </c>
      <c r="Y14" s="82">
        <f t="shared" si="4"/>
        <v>3.5000000000000001E-3</v>
      </c>
      <c r="Z14" s="22">
        <f t="shared" si="5"/>
        <v>7</v>
      </c>
      <c r="AA14" s="22" t="str">
        <f t="shared" si="6"/>
        <v>No</v>
      </c>
      <c r="AB14" s="82">
        <f t="shared" si="7"/>
        <v>3.5000000000000001E-3</v>
      </c>
      <c r="AC14" s="22">
        <f t="shared" si="8"/>
        <v>3</v>
      </c>
      <c r="AD14" s="22" t="str">
        <f t="shared" si="9"/>
        <v>Yes</v>
      </c>
      <c r="AE14" s="82">
        <f t="shared" si="10"/>
        <v>0</v>
      </c>
      <c r="AF14" s="22">
        <f t="shared" si="11"/>
        <v>5</v>
      </c>
      <c r="AG14" s="86" t="str">
        <f t="shared" si="12"/>
        <v>No</v>
      </c>
    </row>
    <row r="15" spans="3:36" s="22" customFormat="1" ht="24.6" customHeight="1" thickTop="1" thickBot="1">
      <c r="C15" s="153"/>
      <c r="D15" s="179" t="s">
        <v>51</v>
      </c>
      <c r="E15" s="180"/>
      <c r="F15" s="171">
        <f t="shared" si="0"/>
        <v>2E-3</v>
      </c>
      <c r="G15" s="171"/>
      <c r="H15" s="165"/>
      <c r="I15" s="204">
        <v>2E-3</v>
      </c>
      <c r="J15" s="205"/>
      <c r="K15" s="165"/>
      <c r="L15" s="135">
        <f t="shared" si="13"/>
        <v>1</v>
      </c>
      <c r="M15" s="136" t="s">
        <v>26</v>
      </c>
      <c r="N15" s="165" t="str">
        <f t="shared" si="1"/>
        <v>Yes</v>
      </c>
      <c r="O15" s="127"/>
      <c r="P15" s="136" t="s">
        <v>29</v>
      </c>
      <c r="Q15" s="145"/>
      <c r="R15" s="19"/>
      <c r="S15" s="19"/>
      <c r="T15" s="19" t="str">
        <f t="shared" si="2"/>
        <v>Risk</v>
      </c>
      <c r="U15" s="19"/>
      <c r="V15" s="19"/>
      <c r="W15" s="19"/>
      <c r="X15" s="91" t="str">
        <f t="shared" si="3"/>
        <v>Fraud</v>
      </c>
      <c r="Y15" s="92">
        <f t="shared" si="4"/>
        <v>2E-3</v>
      </c>
      <c r="Z15" s="93">
        <f t="shared" si="5"/>
        <v>10</v>
      </c>
      <c r="AA15" s="93" t="str">
        <f t="shared" si="6"/>
        <v>No</v>
      </c>
      <c r="AB15" s="92">
        <f t="shared" si="7"/>
        <v>2E-3</v>
      </c>
      <c r="AC15" s="93">
        <f t="shared" si="8"/>
        <v>6</v>
      </c>
      <c r="AD15" s="93" t="str">
        <f t="shared" si="9"/>
        <v>No</v>
      </c>
      <c r="AE15" s="92">
        <f t="shared" si="10"/>
        <v>0</v>
      </c>
      <c r="AF15" s="93">
        <f t="shared" si="11"/>
        <v>5</v>
      </c>
      <c r="AG15" s="94" t="str">
        <f t="shared" si="12"/>
        <v>No</v>
      </c>
      <c r="AJ15" s="22" t="s">
        <v>52</v>
      </c>
    </row>
    <row r="16" spans="3:36" s="22" customFormat="1" ht="24.6" customHeight="1" thickTop="1" thickBot="1">
      <c r="C16" s="153"/>
      <c r="D16" s="179" t="s">
        <v>53</v>
      </c>
      <c r="E16" s="180"/>
      <c r="F16" s="171">
        <f t="shared" si="0"/>
        <v>3.0000000000000001E-3</v>
      </c>
      <c r="G16" s="171"/>
      <c r="H16" s="165"/>
      <c r="I16" s="191">
        <v>3.0000000000000001E-3</v>
      </c>
      <c r="J16" s="192"/>
      <c r="K16" s="165"/>
      <c r="L16" s="135">
        <f t="shared" si="13"/>
        <v>1</v>
      </c>
      <c r="M16" s="136" t="s">
        <v>26</v>
      </c>
      <c r="N16" s="165" t="str">
        <f t="shared" si="1"/>
        <v>Yes</v>
      </c>
      <c r="O16" s="127"/>
      <c r="P16" s="136" t="s">
        <v>29</v>
      </c>
      <c r="Q16" s="145"/>
      <c r="R16" s="19"/>
      <c r="S16" s="19"/>
      <c r="T16" s="19" t="str">
        <f t="shared" si="2"/>
        <v>Risk</v>
      </c>
      <c r="U16" s="19"/>
      <c r="V16" s="19"/>
      <c r="W16" s="19"/>
      <c r="X16" s="85" t="str">
        <f t="shared" si="3"/>
        <v>PR Disaster</v>
      </c>
      <c r="Y16" s="82">
        <f t="shared" si="4"/>
        <v>3.0000000000000001E-3</v>
      </c>
      <c r="Z16" s="22">
        <f t="shared" si="5"/>
        <v>8</v>
      </c>
      <c r="AA16" s="22" t="str">
        <f t="shared" si="6"/>
        <v>No</v>
      </c>
      <c r="AB16" s="82">
        <f t="shared" si="7"/>
        <v>3.0000000000000001E-3</v>
      </c>
      <c r="AC16" s="22">
        <f t="shared" si="8"/>
        <v>4</v>
      </c>
      <c r="AD16" s="22" t="str">
        <f t="shared" si="9"/>
        <v>No</v>
      </c>
      <c r="AE16" s="82">
        <f t="shared" si="10"/>
        <v>0</v>
      </c>
      <c r="AF16" s="22">
        <f t="shared" si="11"/>
        <v>5</v>
      </c>
      <c r="AG16" s="86" t="str">
        <f t="shared" si="12"/>
        <v>No</v>
      </c>
    </row>
    <row r="17" spans="3:34" s="22" customFormat="1" ht="24.6" customHeight="1" thickTop="1" thickBot="1">
      <c r="C17" s="153"/>
      <c r="D17" s="179" t="s">
        <v>54</v>
      </c>
      <c r="E17" s="180"/>
      <c r="F17" s="171">
        <f t="shared" si="0"/>
        <v>6.0000000000000001E-3</v>
      </c>
      <c r="G17" s="171"/>
      <c r="H17" s="165"/>
      <c r="I17" s="191">
        <v>6.0000000000000001E-3</v>
      </c>
      <c r="J17" s="192"/>
      <c r="K17" s="165"/>
      <c r="L17" s="135">
        <f t="shared" si="13"/>
        <v>1</v>
      </c>
      <c r="M17" s="136" t="s">
        <v>30</v>
      </c>
      <c r="N17" s="165" t="str">
        <f t="shared" si="1"/>
        <v>Yes</v>
      </c>
      <c r="O17" s="127"/>
      <c r="P17" s="136" t="s">
        <v>29</v>
      </c>
      <c r="Q17" s="145"/>
      <c r="R17" s="19"/>
      <c r="S17" s="19"/>
      <c r="T17" s="19" t="str">
        <f t="shared" si="2"/>
        <v>Opp</v>
      </c>
      <c r="U17" s="19"/>
      <c r="V17" s="19"/>
      <c r="W17" s="19"/>
      <c r="X17" s="91" t="str">
        <f t="shared" si="3"/>
        <v>Increased BI Investment</v>
      </c>
      <c r="Y17" s="92">
        <f t="shared" si="4"/>
        <v>6.0000000000000001E-3</v>
      </c>
      <c r="Z17" s="93">
        <f t="shared" si="5"/>
        <v>3</v>
      </c>
      <c r="AA17" s="93" t="str">
        <f t="shared" si="6"/>
        <v>Yes</v>
      </c>
      <c r="AB17" s="92">
        <f t="shared" si="7"/>
        <v>0</v>
      </c>
      <c r="AC17" s="93">
        <f t="shared" si="8"/>
        <v>7</v>
      </c>
      <c r="AD17" s="93" t="str">
        <f t="shared" si="9"/>
        <v>No</v>
      </c>
      <c r="AE17" s="92">
        <f t="shared" si="10"/>
        <v>6.0000000000000001E-3</v>
      </c>
      <c r="AF17" s="93">
        <f t="shared" si="11"/>
        <v>1</v>
      </c>
      <c r="AG17" s="94" t="str">
        <f t="shared" si="12"/>
        <v>Yes</v>
      </c>
    </row>
    <row r="18" spans="3:34" s="22" customFormat="1" ht="24.6" customHeight="1" thickTop="1" thickBot="1">
      <c r="C18" s="153"/>
      <c r="D18" s="179" t="s">
        <v>55</v>
      </c>
      <c r="E18" s="180"/>
      <c r="F18" s="171">
        <f t="shared" ref="F18" si="14">IF(N18="Yes",I18*L18,0)</f>
        <v>4.0000000000000001E-3</v>
      </c>
      <c r="G18" s="171"/>
      <c r="H18" s="165"/>
      <c r="I18" s="191">
        <v>4.0000000000000001E-3</v>
      </c>
      <c r="J18" s="192"/>
      <c r="K18" s="165"/>
      <c r="L18" s="135">
        <f t="shared" si="13"/>
        <v>1</v>
      </c>
      <c r="M18" s="136" t="s">
        <v>30</v>
      </c>
      <c r="N18" s="165" t="str">
        <f t="shared" si="1"/>
        <v>Yes</v>
      </c>
      <c r="O18" s="127"/>
      <c r="P18" s="136" t="s">
        <v>29</v>
      </c>
      <c r="Q18" s="145"/>
      <c r="R18" s="19"/>
      <c r="S18" s="19"/>
      <c r="T18" s="19" t="str">
        <f t="shared" ref="T18" si="15">IF(N18="Yes",M18,"")</f>
        <v>Opp</v>
      </c>
      <c r="U18" s="19"/>
      <c r="V18" s="19"/>
      <c r="W18" s="19"/>
      <c r="X18" s="85" t="str">
        <f t="shared" ref="X18" si="16">D18</f>
        <v>Automation and AI</v>
      </c>
      <c r="Y18" s="82">
        <f t="shared" ref="Y18" si="17">I18*L18</f>
        <v>4.0000000000000001E-3</v>
      </c>
      <c r="Z18" s="22">
        <f t="shared" si="5"/>
        <v>6</v>
      </c>
      <c r="AA18" s="22" t="str">
        <f t="shared" si="6"/>
        <v>No</v>
      </c>
      <c r="AB18" s="82">
        <f t="shared" ref="AB18" si="18">IF(M18="Risk",L18*I18,0)</f>
        <v>0</v>
      </c>
      <c r="AC18" s="22">
        <f t="shared" si="8"/>
        <v>7</v>
      </c>
      <c r="AD18" s="22" t="str">
        <f t="shared" si="9"/>
        <v>No</v>
      </c>
      <c r="AE18" s="82">
        <f t="shared" ref="AE18" si="19">IF(M18="Risk",0,L18*I18)</f>
        <v>4.0000000000000001E-3</v>
      </c>
      <c r="AF18" s="22">
        <f t="shared" si="11"/>
        <v>4</v>
      </c>
      <c r="AG18" s="86" t="str">
        <f t="shared" si="12"/>
        <v>No</v>
      </c>
      <c r="AH18" s="22" t="s">
        <v>52</v>
      </c>
    </row>
    <row r="19" spans="3:34" s="22" customFormat="1" ht="24.6" customHeight="1" thickTop="1" thickBot="1">
      <c r="C19" s="153"/>
      <c r="D19" s="179" t="s">
        <v>56</v>
      </c>
      <c r="E19" s="180"/>
      <c r="F19" s="171">
        <f t="shared" si="0"/>
        <v>5.4999999999999997E-3</v>
      </c>
      <c r="G19" s="171"/>
      <c r="H19" s="165"/>
      <c r="I19" s="191">
        <v>5.4999999999999997E-3</v>
      </c>
      <c r="J19" s="192"/>
      <c r="K19" s="165"/>
      <c r="L19" s="135">
        <f t="shared" si="13"/>
        <v>1</v>
      </c>
      <c r="M19" s="136" t="s">
        <v>30</v>
      </c>
      <c r="N19" s="165" t="str">
        <f t="shared" si="1"/>
        <v>Yes</v>
      </c>
      <c r="O19" s="127"/>
      <c r="P19" s="136" t="s">
        <v>29</v>
      </c>
      <c r="Q19" s="145"/>
      <c r="R19" s="19"/>
      <c r="S19" s="19"/>
      <c r="T19" s="19" t="str">
        <f>IF(N19="Yes",M19,"")</f>
        <v>Opp</v>
      </c>
      <c r="U19" s="19"/>
      <c r="V19" s="19"/>
      <c r="W19" s="19"/>
      <c r="X19" s="91" t="str">
        <f>D19</f>
        <v>Merger/Acquisition</v>
      </c>
      <c r="Y19" s="92">
        <f>I19*L19</f>
        <v>5.4999999999999997E-3</v>
      </c>
      <c r="Z19" s="93">
        <f t="shared" si="5"/>
        <v>4</v>
      </c>
      <c r="AA19" s="93" t="str">
        <f t="shared" si="6"/>
        <v>Yes</v>
      </c>
      <c r="AB19" s="92">
        <f>IF(M19="Risk",L19*I19,0)</f>
        <v>0</v>
      </c>
      <c r="AC19" s="93">
        <f t="shared" si="8"/>
        <v>7</v>
      </c>
      <c r="AD19" s="93" t="str">
        <f t="shared" si="9"/>
        <v>No</v>
      </c>
      <c r="AE19" s="92">
        <f>IF(M19="Risk",0,L19*I19)</f>
        <v>5.4999999999999997E-3</v>
      </c>
      <c r="AF19" s="93">
        <f t="shared" si="11"/>
        <v>2</v>
      </c>
      <c r="AG19" s="94" t="str">
        <f t="shared" si="12"/>
        <v>Yes</v>
      </c>
    </row>
    <row r="20" spans="3:34" s="22" customFormat="1" ht="24.6" customHeight="1" thickTop="1" thickBot="1">
      <c r="C20" s="153"/>
      <c r="D20" s="179" t="s">
        <v>57</v>
      </c>
      <c r="E20" s="180"/>
      <c r="F20" s="171">
        <f t="shared" si="0"/>
        <v>5.0000000000000001E-3</v>
      </c>
      <c r="G20" s="171"/>
      <c r="H20" s="165"/>
      <c r="I20" s="202">
        <v>5.0000000000000001E-3</v>
      </c>
      <c r="J20" s="203"/>
      <c r="K20" s="165"/>
      <c r="L20" s="135">
        <f t="shared" si="13"/>
        <v>1</v>
      </c>
      <c r="M20" s="136" t="s">
        <v>30</v>
      </c>
      <c r="N20" s="165" t="str">
        <f t="shared" si="1"/>
        <v>Yes</v>
      </c>
      <c r="O20" s="127"/>
      <c r="P20" s="136" t="s">
        <v>29</v>
      </c>
      <c r="Q20" s="145"/>
      <c r="R20" s="19"/>
      <c r="S20" s="19"/>
      <c r="T20" s="19" t="str">
        <f>IF(N20="Yes",M20,"")</f>
        <v>Opp</v>
      </c>
      <c r="U20" s="19"/>
      <c r="V20" s="19"/>
      <c r="W20" s="19"/>
      <c r="X20" s="87" t="str">
        <f>D20</f>
        <v>Fast Deposit Growth</v>
      </c>
      <c r="Y20" s="88">
        <f>I20*L20</f>
        <v>5.0000000000000001E-3</v>
      </c>
      <c r="Z20" s="89">
        <f t="shared" si="5"/>
        <v>5</v>
      </c>
      <c r="AA20" s="89" t="str">
        <f t="shared" si="6"/>
        <v>Yes</v>
      </c>
      <c r="AB20" s="88">
        <f>IF(M20="Risk",L20*I20,0)</f>
        <v>0</v>
      </c>
      <c r="AC20" s="89">
        <f t="shared" si="8"/>
        <v>7</v>
      </c>
      <c r="AD20" s="89" t="str">
        <f t="shared" si="9"/>
        <v>No</v>
      </c>
      <c r="AE20" s="88">
        <f>IF(M20="Risk",0,L20*I20)</f>
        <v>5.0000000000000001E-3</v>
      </c>
      <c r="AF20" s="89">
        <f t="shared" si="11"/>
        <v>3</v>
      </c>
      <c r="AG20" s="90" t="str">
        <f t="shared" si="12"/>
        <v>No</v>
      </c>
    </row>
    <row r="21" spans="3:34" s="22" customFormat="1" ht="12" customHeight="1" thickTop="1">
      <c r="C21" s="156"/>
      <c r="D21" s="142"/>
      <c r="E21" s="142"/>
      <c r="F21" s="127"/>
      <c r="G21" s="165"/>
      <c r="H21" s="165"/>
      <c r="I21" s="127"/>
      <c r="J21" s="165"/>
      <c r="K21" s="165"/>
      <c r="L21" s="128"/>
      <c r="M21" s="37"/>
      <c r="N21" s="127"/>
      <c r="O21" s="127"/>
      <c r="P21" s="143"/>
      <c r="Q21" s="126"/>
      <c r="R21" s="19"/>
      <c r="S21" s="19"/>
      <c r="T21" s="19"/>
      <c r="U21" s="19"/>
      <c r="V21" s="19"/>
      <c r="W21" s="19"/>
      <c r="X21" s="21"/>
      <c r="Y21" s="82"/>
      <c r="AB21" s="82"/>
      <c r="AE21" s="82"/>
    </row>
    <row r="22" spans="3:34" s="22" customFormat="1" ht="24.6" customHeight="1">
      <c r="C22" s="157"/>
      <c r="D22" s="186" t="s">
        <v>58</v>
      </c>
      <c r="E22" s="186"/>
      <c r="F22" s="170">
        <f>SUMIF($M$11:$M$20,"Risk",$F$11:$F$20)</f>
        <v>3.6000000000000004E-2</v>
      </c>
      <c r="G22" s="183" t="str">
        <f>CONCATENATE("(",T25," Risks)")</f>
        <v>(6 Risks)</v>
      </c>
      <c r="H22" s="183"/>
      <c r="I22" s="183"/>
      <c r="J22" s="183"/>
      <c r="K22" s="183"/>
      <c r="L22" s="183"/>
      <c r="M22" s="183"/>
      <c r="N22" s="183"/>
      <c r="O22" s="183"/>
      <c r="P22" s="184"/>
      <c r="Q22" s="168"/>
      <c r="R22" s="19"/>
      <c r="S22" s="19"/>
      <c r="T22" s="19"/>
      <c r="U22" s="19"/>
      <c r="V22" s="19"/>
      <c r="W22" s="19"/>
      <c r="Y22" s="27"/>
      <c r="AA22" s="19"/>
    </row>
    <row r="23" spans="3:34" s="22" customFormat="1" ht="24.6" customHeight="1" thickBot="1">
      <c r="C23" s="157"/>
      <c r="D23" s="186" t="s">
        <v>59</v>
      </c>
      <c r="E23" s="186"/>
      <c r="F23" s="170">
        <f>SUMIF($M$11:$M$20,"Opp",$F$11:$F$20)</f>
        <v>2.0500000000000001E-2</v>
      </c>
      <c r="G23" s="183" t="str">
        <f>CONCATENATE("(",T26," Opportunities)")</f>
        <v>(4 Opportunities)</v>
      </c>
      <c r="H23" s="183"/>
      <c r="I23" s="183"/>
      <c r="J23" s="183"/>
      <c r="K23" s="183"/>
      <c r="L23" s="183"/>
      <c r="M23" s="183"/>
      <c r="N23" s="183"/>
      <c r="O23" s="183"/>
      <c r="P23" s="184"/>
      <c r="Q23" s="168"/>
      <c r="R23" s="19"/>
      <c r="S23" s="19"/>
      <c r="T23" s="19"/>
      <c r="U23" s="140">
        <v>1</v>
      </c>
      <c r="V23" s="19"/>
      <c r="W23" s="19"/>
      <c r="Y23" s="27"/>
    </row>
    <row r="24" spans="3:34" s="36" customFormat="1" ht="85.15" customHeight="1" thickTop="1" thickBot="1">
      <c r="C24" s="157"/>
      <c r="D24" s="186" t="s">
        <v>60</v>
      </c>
      <c r="E24" s="186"/>
      <c r="F24" s="170">
        <f>SUM(F11:F20)</f>
        <v>5.6499999999999995E-2</v>
      </c>
      <c r="G24" s="183" t="str">
        <f>IF(OR(AND(U26="Yes",(T25+T26)&gt;E37),AND(U28="Yes",(T25+T26)&gt;(E39+E40))),CONCATENATE("to Prepare for ",T24," strategic Items which exceeds the # of items requested due to a tie"),CONCATENATE("to Prepare for ",T24," Strategic Items (",T25," Risks + ",T26," Opportunities)"))</f>
        <v>to Prepare for 10 Strategic Items (6 Risks + 4 Opportunities)</v>
      </c>
      <c r="H24" s="183"/>
      <c r="I24" s="183"/>
      <c r="J24" s="183"/>
      <c r="K24" s="183"/>
      <c r="L24" s="183"/>
      <c r="M24" s="183"/>
      <c r="N24" s="183"/>
      <c r="O24" s="183"/>
      <c r="P24" s="184"/>
      <c r="Q24" s="168"/>
      <c r="R24" s="19"/>
      <c r="S24" s="19" t="s">
        <v>21</v>
      </c>
      <c r="T24" s="19">
        <f>SUM(T25:T26)</f>
        <v>10</v>
      </c>
      <c r="U24" s="129" t="str">
        <f>IF(U23=1,"Yes","No")</f>
        <v>Yes</v>
      </c>
      <c r="V24" s="19"/>
      <c r="W24" s="19"/>
      <c r="Y24" s="20"/>
      <c r="Z24" s="31"/>
      <c r="AA24" s="31"/>
    </row>
    <row r="25" spans="3:34" s="22" customFormat="1" ht="63.6" customHeight="1" thickTop="1" thickBot="1">
      <c r="C25" s="158"/>
      <c r="D25" s="199" t="s">
        <v>61</v>
      </c>
      <c r="E25" s="199"/>
      <c r="F25" s="35">
        <f>SUM(F24+F7)</f>
        <v>0.11649999999999999</v>
      </c>
      <c r="G25" s="185" t="s">
        <v>62</v>
      </c>
      <c r="H25" s="185"/>
      <c r="I25" s="185"/>
      <c r="J25" s="185"/>
      <c r="K25" s="185"/>
      <c r="L25" s="185"/>
      <c r="M25" s="185"/>
      <c r="N25" s="185"/>
      <c r="O25" s="185"/>
      <c r="P25" s="185"/>
      <c r="Q25" s="141"/>
      <c r="S25" s="19" t="s">
        <v>26</v>
      </c>
      <c r="T25" s="19">
        <f>COUNTIF($T$11:$T$20,"Risk")</f>
        <v>6</v>
      </c>
      <c r="U25" s="19"/>
      <c r="Y25" s="20"/>
      <c r="Z25" s="31"/>
      <c r="AA25" s="31"/>
    </row>
    <row r="26" spans="3:34" s="22" customFormat="1" ht="24.95" customHeight="1" thickTop="1" thickBot="1">
      <c r="C26" s="159"/>
      <c r="D26" s="199" t="s">
        <v>63</v>
      </c>
      <c r="E26" s="199"/>
      <c r="F26" s="30">
        <f>E7/D7</f>
        <v>9.6799999999999997E-2</v>
      </c>
      <c r="G26" s="34"/>
      <c r="H26" s="34"/>
      <c r="I26" s="34"/>
      <c r="J26" s="34"/>
      <c r="K26" s="34"/>
      <c r="L26" s="34"/>
      <c r="M26" s="33"/>
      <c r="N26" s="33"/>
      <c r="O26" s="33"/>
      <c r="P26" s="33"/>
      <c r="Q26" s="32"/>
      <c r="S26" s="19" t="s">
        <v>30</v>
      </c>
      <c r="T26" s="19">
        <f>COUNTIF($T$11:$T$20,"Opp")</f>
        <v>4</v>
      </c>
      <c r="U26" s="130" t="str">
        <f>IF(U23=2,"Yes","No")</f>
        <v>No</v>
      </c>
      <c r="Y26" s="20"/>
      <c r="Z26" s="31"/>
      <c r="AA26" s="31"/>
    </row>
    <row r="27" spans="3:34" s="22" customFormat="1" ht="43.9" customHeight="1" thickTop="1" thickBot="1">
      <c r="C27" s="160"/>
      <c r="D27" s="199" t="s">
        <v>8</v>
      </c>
      <c r="E27" s="199"/>
      <c r="F27" s="30">
        <f>F26-F25</f>
        <v>-1.9699999999999995E-2</v>
      </c>
      <c r="G27" s="185" t="str">
        <f>IF(F27&gt;0,"Strategic Cushion","Strategic Shortfall")</f>
        <v>Strategic Shortfall</v>
      </c>
      <c r="H27" s="185"/>
      <c r="I27" s="185"/>
      <c r="J27" s="185"/>
      <c r="K27" s="185"/>
      <c r="L27" s="185"/>
      <c r="M27" s="185"/>
      <c r="N27" s="167"/>
      <c r="O27" s="167"/>
      <c r="P27" s="144"/>
      <c r="Q27" s="29"/>
      <c r="S27" s="19"/>
      <c r="T27" s="28"/>
      <c r="U27" s="19"/>
      <c r="Y27" s="27"/>
    </row>
    <row r="28" spans="3:34" ht="11.25" customHeight="1" thickTop="1" thickBot="1">
      <c r="C28" s="161"/>
      <c r="D28" s="26"/>
      <c r="E28" s="25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3"/>
      <c r="Q28" s="23"/>
      <c r="U28" s="181" t="str">
        <f>IF(U23=3,"Yes","No")</f>
        <v>No</v>
      </c>
    </row>
    <row r="29" spans="3:34" ht="34.15" hidden="1" customHeight="1" thickBot="1">
      <c r="C29" s="81"/>
      <c r="D29" s="196" t="str">
        <f>IF(U24="Yes",X35,IF(U26="Yes",X37,IF(U28="Yes",X39,"")))</f>
        <v>Agreements:  Net worth should be able to cover all of the identified major risks and opportunities.  If we are are making a positive ROA after the interest rate environment stress, we will not count on the positive earnings to offset potential strategic net worth needs.</v>
      </c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8"/>
      <c r="Q29" s="81"/>
      <c r="U29" s="182"/>
    </row>
    <row r="30" spans="3:34" ht="67.150000000000006" hidden="1" customHeight="1" thickBot="1">
      <c r="C30" s="81"/>
      <c r="D30" s="193" t="s">
        <v>64</v>
      </c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5"/>
      <c r="Q30" s="81"/>
    </row>
    <row r="31" spans="3:34" ht="67.150000000000006" customHeight="1"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3:34" ht="21" thickBot="1"/>
    <row r="33" spans="4:26" ht="21.6" customHeight="1" thickBot="1">
      <c r="D33" s="72"/>
      <c r="E33" s="73" t="s">
        <v>65</v>
      </c>
      <c r="F33" s="73" t="s">
        <v>66</v>
      </c>
      <c r="G33" s="74" t="s">
        <v>67</v>
      </c>
      <c r="H33" s="74"/>
      <c r="X33" s="19"/>
      <c r="Y33" s="21"/>
      <c r="Z33" s="20"/>
    </row>
    <row r="34" spans="4:26" ht="13.15" customHeight="1" thickTop="1">
      <c r="D34" s="70"/>
      <c r="E34" s="67"/>
      <c r="F34" s="67"/>
      <c r="G34" s="67"/>
      <c r="H34" s="106"/>
      <c r="K34" s="102"/>
      <c r="X34" s="19"/>
      <c r="Y34" s="21"/>
      <c r="Z34" s="20"/>
    </row>
    <row r="35" spans="4:26">
      <c r="D35" s="78" t="s">
        <v>68</v>
      </c>
      <c r="E35" s="123"/>
      <c r="H35" s="131"/>
      <c r="K35" s="132"/>
      <c r="X35" s="47" t="s">
        <v>69</v>
      </c>
    </row>
    <row r="36" spans="4:26" ht="21" thickBot="1">
      <c r="D36" s="79" t="s">
        <v>70</v>
      </c>
      <c r="E36" s="75"/>
      <c r="H36" s="77"/>
      <c r="K36" s="103"/>
      <c r="X36" s="101">
        <f>IF(U24="Yes",1,0)</f>
        <v>1</v>
      </c>
    </row>
    <row r="37" spans="4:26" ht="42" thickTop="1" thickBot="1">
      <c r="D37" s="80" t="s">
        <v>71</v>
      </c>
      <c r="E37" s="137">
        <v>5</v>
      </c>
      <c r="F37" s="76">
        <f>SUM(F39:F40)</f>
        <v>10</v>
      </c>
      <c r="H37" s="133"/>
      <c r="I37" s="151" t="str">
        <f>IF(E37&gt;F37,"ERROR:  You can only select a maximum of "&amp;F37&amp;" item(s)","")</f>
        <v/>
      </c>
      <c r="K37" s="134"/>
      <c r="X37" s="47" t="str">
        <f>CONCATENATE("Agreements:  Net worth should be able to cover the largest ",E37," risks and opportunities occuring in conjunction.  If we are are making a positive ROA after the interest rate environment stress, we will not count on the positive earnings to offset potential strategic net worth needs.")</f>
        <v>Agreements:  Net worth should be able to cover the largest 5 risks and opportunities occuring in conjunction.  If we are are making a positive ROA after the interest rate environment stress, we will not count on the positive earnings to offset potential strategic net worth needs.</v>
      </c>
    </row>
    <row r="38" spans="4:26" ht="21.75" thickTop="1" thickBot="1">
      <c r="D38" s="79" t="s">
        <v>70</v>
      </c>
      <c r="E38" s="68"/>
      <c r="H38" s="77"/>
      <c r="I38" s="150"/>
      <c r="X38" s="101">
        <f>IF(U26="Yes",1,0)</f>
        <v>0</v>
      </c>
    </row>
    <row r="39" spans="4:26" ht="21.75" thickTop="1" thickBot="1">
      <c r="D39" s="78" t="s">
        <v>72</v>
      </c>
      <c r="E39" s="138">
        <v>3</v>
      </c>
      <c r="F39" s="22">
        <f>COUNTIF($M$11:$M$20,"Risk")</f>
        <v>6</v>
      </c>
      <c r="H39" s="133"/>
      <c r="I39" s="151" t="str">
        <f>IF(E39&gt;F39,"ERROR:  You can only select a maximum of "&amp;F39&amp;" item(s)","")</f>
        <v/>
      </c>
      <c r="X39" s="47" t="str">
        <f>CONCATENATE("Agreements:  Net worth should be able to cover the largest ",E39," risks occuring in conjunction with the ",E40," largest opportunities.  If we are are making a positive ROA after the interest rate environment stress, we will not count on the positive earnings to offset potential strategic net worth needs.")</f>
        <v>Agreements:  Net worth should be able to cover the largest 3 risks occuring in conjunction with the 2 largest opportunities.  If we are are making a positive ROA after the interest rate environment stress, we will not count on the positive earnings to offset potential strategic net worth needs.</v>
      </c>
    </row>
    <row r="40" spans="4:26" ht="21.75" thickTop="1" thickBot="1">
      <c r="D40" s="78" t="s">
        <v>73</v>
      </c>
      <c r="E40" s="139">
        <v>2</v>
      </c>
      <c r="F40" s="22">
        <f>COUNTIF($M$11:$M$20,"Opp")</f>
        <v>4</v>
      </c>
      <c r="H40" s="133"/>
      <c r="I40" s="151" t="str">
        <f>IF(E40&gt;F40,"ERROR:  You can only select a maximum of "&amp;F40&amp;" item(s)","")</f>
        <v/>
      </c>
      <c r="X40" s="101">
        <f>IF(U28="Yes",1,0)</f>
        <v>0</v>
      </c>
    </row>
    <row r="41" spans="4:26" ht="12.6" customHeight="1" thickTop="1" thickBot="1">
      <c r="D41" s="71"/>
      <c r="E41" s="69"/>
      <c r="F41" s="69"/>
      <c r="G41" s="69"/>
      <c r="H41" s="107"/>
    </row>
    <row r="42" spans="4:26">
      <c r="D42" s="104" t="s">
        <v>74</v>
      </c>
      <c r="E42" s="105"/>
      <c r="F42" s="105"/>
      <c r="G42" s="105"/>
      <c r="H42" s="105"/>
    </row>
    <row r="43" spans="4:26">
      <c r="D43" s="104" t="s">
        <v>75</v>
      </c>
    </row>
  </sheetData>
  <sheetProtection algorithmName="SHA-512" hashValue="+TKQiE2kzFKdk3LngV+DAiOZExQuUJHnrzkknGotm9+MpZpbdul2ovWPUQlFLacJpxhEkn572eB726KNoLgipQ==" saltValue="sAIlp9EaF2fZhcd82GDQ0A==" spinCount="100000" sheet="1" objects="1" scenarios="1"/>
  <mergeCells count="40">
    <mergeCell ref="I19:J19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9:J9"/>
    <mergeCell ref="C4:Q4"/>
    <mergeCell ref="F7:G7"/>
    <mergeCell ref="D30:P30"/>
    <mergeCell ref="D29:P29"/>
    <mergeCell ref="D25:E25"/>
    <mergeCell ref="D26:E26"/>
    <mergeCell ref="D27:E27"/>
    <mergeCell ref="G25:P25"/>
    <mergeCell ref="D19:E19"/>
    <mergeCell ref="D18:E18"/>
    <mergeCell ref="D11:E11"/>
    <mergeCell ref="D9:E9"/>
    <mergeCell ref="F6:G6"/>
    <mergeCell ref="F9:G9"/>
    <mergeCell ref="D12:E12"/>
    <mergeCell ref="U28:U29"/>
    <mergeCell ref="G24:P24"/>
    <mergeCell ref="G23:P23"/>
    <mergeCell ref="G22:P22"/>
    <mergeCell ref="D20:E20"/>
    <mergeCell ref="G27:M27"/>
    <mergeCell ref="D23:E23"/>
    <mergeCell ref="D22:E22"/>
    <mergeCell ref="D24:E24"/>
    <mergeCell ref="D13:E13"/>
    <mergeCell ref="D14:E14"/>
    <mergeCell ref="D15:E15"/>
    <mergeCell ref="D16:E16"/>
    <mergeCell ref="D17:E17"/>
  </mergeCells>
  <conditionalFormatting sqref="G27:O27">
    <cfRule type="expression" dxfId="2" priority="1">
      <formula>$F$27&lt;0</formula>
    </cfRule>
  </conditionalFormatting>
  <dataValidations count="2">
    <dataValidation type="list" allowBlank="1" showInputMessage="1" showErrorMessage="1" sqref="K37 N21 N10 O10:O21 K35 U24 H35 U26 H37 U28 H39" xr:uid="{00000000-0002-0000-0100-000000000000}">
      <formula1>$U$6:$U$7</formula1>
    </dataValidation>
    <dataValidation type="list" allowBlank="1" showInputMessage="1" showErrorMessage="1" sqref="M10:M21" xr:uid="{00000000-0002-0000-0100-000001000000}">
      <formula1>$T$6:$T$8</formula1>
    </dataValidation>
  </dataValidations>
  <printOptions horizontalCentered="1" verticalCentered="1"/>
  <pageMargins left="0.25" right="0.25" top="0.25" bottom="0.25" header="0.25" footer="0.25"/>
  <pageSetup scale="53" orientation="landscape" horizontalDpi="300" verticalDpi="300" r:id="rId1"/>
  <headerFooter>
    <oddFooter>&amp;L&amp;9&amp;G
&amp;"Arial,Regular"&amp;10 800.238.7475 | cmyers.com&amp;R&amp;"Arial,Regular"&amp;10Proprietary property of c. myers corporation
This tool is designed by c. myers; actual input supplied by the credit union</oddFooter>
  </headerFooter>
  <ignoredErrors>
    <ignoredError sqref="F18:F20 F11:F17 D7:E7 L12:L20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66675</xdr:rowOff>
                  </from>
                  <to>
                    <xdr:col>9</xdr:col>
                    <xdr:colOff>9525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35</xdr:row>
                    <xdr:rowOff>238125</xdr:rowOff>
                  </from>
                  <to>
                    <xdr:col>9</xdr:col>
                    <xdr:colOff>9525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38</xdr:row>
                    <xdr:rowOff>28575</xdr:rowOff>
                  </from>
                  <to>
                    <xdr:col>6</xdr:col>
                    <xdr:colOff>676275</xdr:colOff>
                    <xdr:row>39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19"/>
  <sheetViews>
    <sheetView showGridLines="0" zoomScaleNormal="100" workbookViewId="0">
      <selection activeCell="H28" sqref="H28"/>
    </sheetView>
  </sheetViews>
  <sheetFormatPr defaultRowHeight="15" outlineLevelCol="1"/>
  <cols>
    <col min="1" max="1" width="24.7109375" customWidth="1"/>
    <col min="2" max="2" width="21.42578125" hidden="1" customWidth="1" outlineLevel="1"/>
    <col min="3" max="4" width="19.28515625" hidden="1" customWidth="1" outlineLevel="1"/>
    <col min="5" max="5" width="8.85546875" hidden="1" customWidth="1" outlineLevel="1"/>
    <col min="6" max="6" width="13.5703125" customWidth="1" collapsed="1"/>
    <col min="7" max="8" width="18.7109375" customWidth="1"/>
    <col min="9" max="9" width="13.5703125" customWidth="1"/>
    <col min="11" max="11" width="21.42578125" hidden="1" customWidth="1" outlineLevel="1"/>
    <col min="12" max="13" width="19.28515625" hidden="1" customWidth="1" outlineLevel="1"/>
    <col min="14" max="14" width="8.85546875" hidden="1" customWidth="1" outlineLevel="1"/>
    <col min="15" max="15" width="13.5703125" customWidth="1" collapsed="1"/>
    <col min="16" max="17" width="18.7109375" customWidth="1"/>
    <col min="18" max="18" width="13.5703125" customWidth="1"/>
    <col min="20" max="20" width="13.5703125" customWidth="1" collapsed="1"/>
    <col min="21" max="22" width="18.7109375" customWidth="1"/>
    <col min="23" max="23" width="13.5703125" customWidth="1"/>
  </cols>
  <sheetData>
    <row r="1" spans="1:23">
      <c r="F1" s="62"/>
      <c r="G1" s="62"/>
      <c r="H1" s="62"/>
      <c r="I1" s="62"/>
      <c r="O1" s="62"/>
      <c r="P1" s="62"/>
      <c r="Q1" s="62"/>
      <c r="R1" s="62"/>
      <c r="T1" s="62"/>
      <c r="U1" s="62"/>
      <c r="V1" s="62"/>
      <c r="W1" s="62"/>
    </row>
    <row r="2" spans="1:23" ht="25.5" thickBot="1">
      <c r="A2" s="99"/>
      <c r="B2" s="208" t="s">
        <v>76</v>
      </c>
      <c r="C2" s="209"/>
      <c r="D2" s="209"/>
      <c r="E2" s="98"/>
      <c r="F2" s="206" t="s">
        <v>77</v>
      </c>
      <c r="G2" s="207"/>
      <c r="H2" s="207"/>
      <c r="I2" s="207"/>
      <c r="K2" s="208" t="s">
        <v>78</v>
      </c>
      <c r="L2" s="209"/>
      <c r="M2" s="209"/>
      <c r="N2" s="100"/>
      <c r="O2" s="206" t="s">
        <v>79</v>
      </c>
      <c r="P2" s="207"/>
      <c r="Q2" s="207"/>
      <c r="R2" s="207"/>
      <c r="T2" s="206" t="s">
        <v>8</v>
      </c>
      <c r="U2" s="207"/>
      <c r="V2" s="207"/>
      <c r="W2" s="207"/>
    </row>
    <row r="3" spans="1:23" ht="19.5" thickTop="1" thickBot="1">
      <c r="A3" s="66" t="s">
        <v>80</v>
      </c>
      <c r="B3" s="16" t="s">
        <v>16</v>
      </c>
      <c r="C3" s="17" t="s">
        <v>81</v>
      </c>
      <c r="D3" s="18" t="s">
        <v>82</v>
      </c>
      <c r="F3" s="63" t="s">
        <v>83</v>
      </c>
      <c r="G3" s="64" t="s">
        <v>84</v>
      </c>
      <c r="H3" s="64" t="s">
        <v>85</v>
      </c>
      <c r="I3" s="65" t="s">
        <v>86</v>
      </c>
      <c r="K3" s="16" t="s">
        <v>16</v>
      </c>
      <c r="L3" s="17" t="s">
        <v>81</v>
      </c>
      <c r="M3" s="18" t="s">
        <v>82</v>
      </c>
      <c r="O3" s="63" t="s">
        <v>83</v>
      </c>
      <c r="P3" s="64" t="s">
        <v>84</v>
      </c>
      <c r="Q3" s="64" t="s">
        <v>85</v>
      </c>
      <c r="R3" s="65" t="s">
        <v>86</v>
      </c>
      <c r="T3" s="63" t="s">
        <v>83</v>
      </c>
      <c r="U3" s="64" t="s">
        <v>84</v>
      </c>
      <c r="V3" s="64" t="s">
        <v>85</v>
      </c>
      <c r="W3" s="65" t="s">
        <v>86</v>
      </c>
    </row>
    <row r="4" spans="1:23" ht="20.25">
      <c r="A4" s="1">
        <v>0</v>
      </c>
      <c r="B4" s="2"/>
      <c r="C4" s="4">
        <f>'Earn Impact Capital'!C5</f>
        <v>1898676</v>
      </c>
      <c r="F4" s="3"/>
      <c r="G4" s="5"/>
      <c r="H4" s="4">
        <f>I4*'Earn Impact Capital'!C5</f>
        <v>183791.83679999999</v>
      </c>
      <c r="I4" s="3">
        <f>'Earn Impact Capital'!D5</f>
        <v>9.6799999999999997E-2</v>
      </c>
      <c r="K4" s="2"/>
      <c r="L4" s="4">
        <f>'Earn Impact Capital'!C5</f>
        <v>1898676</v>
      </c>
      <c r="O4" s="3"/>
      <c r="P4" s="5"/>
      <c r="Q4" s="4">
        <f>H4</f>
        <v>183791.83679999999</v>
      </c>
      <c r="R4" s="3">
        <f>'Earn Impact Capital'!D5</f>
        <v>9.6799999999999997E-2</v>
      </c>
      <c r="T4" s="3"/>
      <c r="U4" s="5"/>
      <c r="V4" s="4">
        <f>Q4-H4</f>
        <v>0</v>
      </c>
      <c r="W4" s="3">
        <f>R4-I4</f>
        <v>0</v>
      </c>
    </row>
    <row r="5" spans="1:23" ht="20.25">
      <c r="A5" s="1">
        <v>1</v>
      </c>
      <c r="B5" s="3">
        <f>'Earn Impact Capital'!C9</f>
        <v>0.09</v>
      </c>
      <c r="C5" s="4">
        <f t="shared" ref="C5:C14" si="0">C4*(1+B5)</f>
        <v>2069556.84</v>
      </c>
      <c r="D5" s="4">
        <f>AVERAGE($C$4:C5)</f>
        <v>1984116.42</v>
      </c>
      <c r="F5" s="3">
        <f t="shared" ref="F5:F14" si="1">G5/AVERAGE($C4:$C5)</f>
        <v>1.0005741626794264E-2</v>
      </c>
      <c r="G5" s="4">
        <f t="shared" ref="G5:G14" si="2">(I5*$C5)-(I4*$C4)</f>
        <v>19852.556256000011</v>
      </c>
      <c r="H5" s="4">
        <f t="shared" ref="H5:H14" si="3">H4+G5</f>
        <v>203644.393056</v>
      </c>
      <c r="I5" s="3">
        <f>IF($A5&lt;'Earn Impact Capital'!$C$11,$A5/'Earn Impact Capital'!$C$11*('Earn Impact Capital'!$C$10-'Earn Impact Capital'!$D$5)+'Earn Impact Capital'!$D$5,'Earn Impact Capital'!$C$10)</f>
        <v>9.8400000000000001E-2</v>
      </c>
      <c r="K5" s="3">
        <f>'Earn Impact Capital'!D9</f>
        <v>0.09</v>
      </c>
      <c r="L5" s="4">
        <f t="shared" ref="L5:L14" si="4">L4*(1+K5)</f>
        <v>2069556.84</v>
      </c>
      <c r="M5" s="4">
        <f>AVERAGE($L$4:L5)</f>
        <v>1984116.42</v>
      </c>
      <c r="O5" s="3">
        <f t="shared" ref="O5:O14" si="5">P5/AVERAGE($L4:$L5)</f>
        <v>1.5221052631578951E-2</v>
      </c>
      <c r="P5" s="4">
        <f t="shared" ref="P5:P14" si="6">(R5*$L5)-(R4*$L4)</f>
        <v>30200.340456000005</v>
      </c>
      <c r="Q5" s="4">
        <f t="shared" ref="Q5:Q14" si="7">Q4+P5</f>
        <v>213992.177256</v>
      </c>
      <c r="R5" s="3">
        <f>IF($A5&lt;'Earn Impact Capital'!$D$11,$A5/'Earn Impact Capital'!$D$11*('Earn Impact Capital'!$D$10-'Earn Impact Capital'!$D$5)+'Earn Impact Capital'!$D$5,'Earn Impact Capital'!$D$10)</f>
        <v>0.10339999999999999</v>
      </c>
      <c r="T5" s="3">
        <f>O5-F5</f>
        <v>5.2153110047846868E-3</v>
      </c>
      <c r="U5" s="4">
        <f>P5-G5</f>
        <v>10347.784199999995</v>
      </c>
      <c r="V5" s="4">
        <f t="shared" ref="V5:V14" si="8">Q5-H5</f>
        <v>10347.784199999995</v>
      </c>
      <c r="W5" s="3">
        <f t="shared" ref="W5:W14" si="9">R5-I5</f>
        <v>4.9999999999999906E-3</v>
      </c>
    </row>
    <row r="6" spans="1:23" ht="20.25">
      <c r="A6" s="1">
        <v>2</v>
      </c>
      <c r="B6" s="3">
        <f t="shared" ref="B6:B14" si="10">B5</f>
        <v>0.09</v>
      </c>
      <c r="C6" s="4">
        <f t="shared" si="0"/>
        <v>2255816.9556000005</v>
      </c>
      <c r="D6" s="4">
        <f>AVERAGE($C$4:C6)</f>
        <v>2074683.2652000003</v>
      </c>
      <c r="F6" s="3">
        <f t="shared" si="1"/>
        <v>1.0143540669856481E-2</v>
      </c>
      <c r="G6" s="4">
        <f t="shared" si="2"/>
        <v>21937.30250400005</v>
      </c>
      <c r="H6" s="4">
        <f t="shared" si="3"/>
        <v>225581.69556000005</v>
      </c>
      <c r="I6" s="3">
        <f>IF($A6&lt;'Earn Impact Capital'!$C$11,$A6/'Earn Impact Capital'!$C$11*('Earn Impact Capital'!$C$10-'Earn Impact Capital'!$D$5)+'Earn Impact Capital'!$D$5,'Earn Impact Capital'!$C$10)</f>
        <v>0.1</v>
      </c>
      <c r="K6" s="3">
        <f t="shared" ref="K6:K14" si="11">K5</f>
        <v>0.09</v>
      </c>
      <c r="L6" s="4">
        <f t="shared" si="4"/>
        <v>2255816.9556000005</v>
      </c>
      <c r="M6" s="4">
        <f>AVERAGE($L$4:L6)</f>
        <v>2074683.2652000003</v>
      </c>
      <c r="O6" s="3">
        <f t="shared" si="5"/>
        <v>1.5789473684210555E-2</v>
      </c>
      <c r="P6" s="4">
        <f t="shared" si="6"/>
        <v>34147.687860000064</v>
      </c>
      <c r="Q6" s="4">
        <f t="shared" si="7"/>
        <v>248139.86511600006</v>
      </c>
      <c r="R6" s="3">
        <f>IF($A6&lt;'Earn Impact Capital'!$D$11,$A6/'Earn Impact Capital'!$D$11*('Earn Impact Capital'!$D$10-'Earn Impact Capital'!$D$5)+'Earn Impact Capital'!$D$5,'Earn Impact Capital'!$D$10)</f>
        <v>0.11</v>
      </c>
      <c r="T6" s="3">
        <f t="shared" ref="T6:T14" si="12">O6-F6</f>
        <v>5.645933014354074E-3</v>
      </c>
      <c r="U6" s="4">
        <f t="shared" ref="U6:U14" si="13">P6-G6</f>
        <v>12210.385356000013</v>
      </c>
      <c r="V6" s="4">
        <f t="shared" si="8"/>
        <v>22558.169556000008</v>
      </c>
      <c r="W6" s="3">
        <f t="shared" si="9"/>
        <v>9.999999999999995E-3</v>
      </c>
    </row>
    <row r="7" spans="1:23" ht="20.25">
      <c r="A7" s="1">
        <v>3</v>
      </c>
      <c r="B7" s="3">
        <f t="shared" si="10"/>
        <v>0.09</v>
      </c>
      <c r="C7" s="4">
        <f t="shared" si="0"/>
        <v>2458840.4816040006</v>
      </c>
      <c r="D7" s="4">
        <f>AVERAGE($C$4:C7)</f>
        <v>2170722.5693010003</v>
      </c>
      <c r="F7" s="3">
        <f t="shared" si="1"/>
        <v>8.6124401913875645E-3</v>
      </c>
      <c r="G7" s="4">
        <f t="shared" si="2"/>
        <v>20302.352600400016</v>
      </c>
      <c r="H7" s="4">
        <f t="shared" si="3"/>
        <v>245884.04816040007</v>
      </c>
      <c r="I7" s="3">
        <f>IF($A7&lt;'Earn Impact Capital'!$C$11,$A7/'Earn Impact Capital'!$C$11*('Earn Impact Capital'!$C$10-'Earn Impact Capital'!$D$5)+'Earn Impact Capital'!$D$5,'Earn Impact Capital'!$C$10)</f>
        <v>0.1</v>
      </c>
      <c r="K7" s="3">
        <f t="shared" si="11"/>
        <v>0.09</v>
      </c>
      <c r="L7" s="4">
        <f t="shared" si="4"/>
        <v>2458840.4816040006</v>
      </c>
      <c r="M7" s="4">
        <f>AVERAGE($L$4:L7)</f>
        <v>2170722.5693010003</v>
      </c>
      <c r="O7" s="3">
        <f t="shared" si="5"/>
        <v>9.4736842105263216E-3</v>
      </c>
      <c r="P7" s="4">
        <f t="shared" si="6"/>
        <v>22332.58786044002</v>
      </c>
      <c r="Q7" s="4">
        <f t="shared" si="7"/>
        <v>270472.45297644008</v>
      </c>
      <c r="R7" s="3">
        <f>IF($A7&lt;'Earn Impact Capital'!$D$11,$A7/'Earn Impact Capital'!$D$11*('Earn Impact Capital'!$D$10-'Earn Impact Capital'!$D$5)+'Earn Impact Capital'!$D$5,'Earn Impact Capital'!$D$10)</f>
        <v>0.11</v>
      </c>
      <c r="T7" s="3">
        <f t="shared" si="12"/>
        <v>8.6124401913875714E-4</v>
      </c>
      <c r="U7" s="4">
        <f t="shared" si="13"/>
        <v>2030.2352600400045</v>
      </c>
      <c r="V7" s="4">
        <f t="shared" si="8"/>
        <v>24588.404816040013</v>
      </c>
      <c r="W7" s="3">
        <f t="shared" si="9"/>
        <v>9.999999999999995E-3</v>
      </c>
    </row>
    <row r="8" spans="1:23" ht="20.25">
      <c r="A8" s="1">
        <v>4</v>
      </c>
      <c r="B8" s="3">
        <f t="shared" si="10"/>
        <v>0.09</v>
      </c>
      <c r="C8" s="4">
        <f t="shared" si="0"/>
        <v>2680136.124948361</v>
      </c>
      <c r="D8" s="4">
        <f>AVERAGE($C$4:C8)</f>
        <v>2272605.2804304725</v>
      </c>
      <c r="F8" s="3">
        <f t="shared" si="1"/>
        <v>8.612440191387568E-3</v>
      </c>
      <c r="G8" s="4">
        <f t="shared" si="2"/>
        <v>22129.564334436029</v>
      </c>
      <c r="H8" s="4">
        <f t="shared" si="3"/>
        <v>268013.6124948361</v>
      </c>
      <c r="I8" s="3">
        <f>IF($A8&lt;'Earn Impact Capital'!$C$11,$A8/'Earn Impact Capital'!$C$11*('Earn Impact Capital'!$C$10-'Earn Impact Capital'!$D$5)+'Earn Impact Capital'!$D$5,'Earn Impact Capital'!$C$10)</f>
        <v>0.1</v>
      </c>
      <c r="K8" s="3">
        <f t="shared" si="11"/>
        <v>0.09</v>
      </c>
      <c r="L8" s="4">
        <f t="shared" si="4"/>
        <v>2680136.124948361</v>
      </c>
      <c r="M8" s="4">
        <f>AVERAGE($L$4:L8)</f>
        <v>2272605.2804304725</v>
      </c>
      <c r="O8" s="3">
        <f t="shared" si="5"/>
        <v>9.4736842105263182E-3</v>
      </c>
      <c r="P8" s="4">
        <f t="shared" si="6"/>
        <v>24342.520767879614</v>
      </c>
      <c r="Q8" s="4">
        <f t="shared" si="7"/>
        <v>294814.97374431969</v>
      </c>
      <c r="R8" s="3">
        <f>IF($A8&lt;'Earn Impact Capital'!$D$11,$A8/'Earn Impact Capital'!$D$11*('Earn Impact Capital'!$D$10-'Earn Impact Capital'!$D$5)+'Earn Impact Capital'!$D$5,'Earn Impact Capital'!$D$10)</f>
        <v>0.11</v>
      </c>
      <c r="T8" s="3">
        <f t="shared" si="12"/>
        <v>8.6124401913875021E-4</v>
      </c>
      <c r="U8" s="4">
        <f t="shared" si="13"/>
        <v>2212.9564334435854</v>
      </c>
      <c r="V8" s="4">
        <f t="shared" si="8"/>
        <v>26801.361249483598</v>
      </c>
      <c r="W8" s="3">
        <f t="shared" si="9"/>
        <v>9.999999999999995E-3</v>
      </c>
    </row>
    <row r="9" spans="1:23" ht="20.25">
      <c r="A9" s="1">
        <v>5</v>
      </c>
      <c r="B9" s="3">
        <f t="shared" si="10"/>
        <v>0.09</v>
      </c>
      <c r="C9" s="4">
        <f t="shared" si="0"/>
        <v>2921348.3761937139</v>
      </c>
      <c r="D9" s="4">
        <f>AVERAGE($C$4:C9)</f>
        <v>2380729.1297243461</v>
      </c>
      <c r="F9" s="3">
        <f t="shared" si="1"/>
        <v>8.6124401913875853E-3</v>
      </c>
      <c r="G9" s="4">
        <f t="shared" si="2"/>
        <v>24121.225124535325</v>
      </c>
      <c r="H9" s="4">
        <f t="shared" si="3"/>
        <v>292134.83761937142</v>
      </c>
      <c r="I9" s="3">
        <f>IF($A9&lt;'Earn Impact Capital'!$C$11,$A9/'Earn Impact Capital'!$C$11*('Earn Impact Capital'!$C$10-'Earn Impact Capital'!$D$5)+'Earn Impact Capital'!$D$5,'Earn Impact Capital'!$C$10)</f>
        <v>0.1</v>
      </c>
      <c r="K9" s="3">
        <f t="shared" si="11"/>
        <v>0.09</v>
      </c>
      <c r="L9" s="4">
        <f t="shared" si="4"/>
        <v>2921348.3761937139</v>
      </c>
      <c r="M9" s="4">
        <f>AVERAGE($L$4:L9)</f>
        <v>2380729.1297243461</v>
      </c>
      <c r="O9" s="3">
        <f t="shared" si="5"/>
        <v>9.4736842105263425E-3</v>
      </c>
      <c r="P9" s="4">
        <f t="shared" si="6"/>
        <v>26533.347636988852</v>
      </c>
      <c r="Q9" s="4">
        <f t="shared" si="7"/>
        <v>321348.32138130855</v>
      </c>
      <c r="R9" s="3">
        <f>IF($A9&lt;'Earn Impact Capital'!$D$11,$A9/'Earn Impact Capital'!$D$11*('Earn Impact Capital'!$D$10-'Earn Impact Capital'!$D$5)+'Earn Impact Capital'!$D$5,'Earn Impact Capital'!$D$10)</f>
        <v>0.11</v>
      </c>
      <c r="T9" s="3">
        <f t="shared" si="12"/>
        <v>8.6124401913875714E-4</v>
      </c>
      <c r="U9" s="4">
        <f t="shared" si="13"/>
        <v>2412.1225124535267</v>
      </c>
      <c r="V9" s="4">
        <f t="shared" si="8"/>
        <v>29213.483761937125</v>
      </c>
      <c r="W9" s="3">
        <f t="shared" si="9"/>
        <v>9.999999999999995E-3</v>
      </c>
    </row>
    <row r="10" spans="1:23" ht="20.25">
      <c r="A10" s="1">
        <v>6</v>
      </c>
      <c r="B10" s="3">
        <f t="shared" si="10"/>
        <v>0.09</v>
      </c>
      <c r="C10" s="4">
        <f t="shared" si="0"/>
        <v>3184269.7300511482</v>
      </c>
      <c r="D10" s="4">
        <f>AVERAGE($C$4:C10)</f>
        <v>2495520.6440567463</v>
      </c>
      <c r="F10" s="3">
        <f t="shared" si="1"/>
        <v>8.6124401913875524E-3</v>
      </c>
      <c r="G10" s="4">
        <f t="shared" si="2"/>
        <v>26292.135385743401</v>
      </c>
      <c r="H10" s="4">
        <f t="shared" si="3"/>
        <v>318426.97300511482</v>
      </c>
      <c r="I10" s="3">
        <f>IF($A10&lt;'Earn Impact Capital'!$C$11,$A10/'Earn Impact Capital'!$C$11*('Earn Impact Capital'!$C$10-'Earn Impact Capital'!$D$5)+'Earn Impact Capital'!$D$5,'Earn Impact Capital'!$C$10)</f>
        <v>0.1</v>
      </c>
      <c r="K10" s="3">
        <f t="shared" si="11"/>
        <v>0.09</v>
      </c>
      <c r="L10" s="4">
        <f t="shared" si="4"/>
        <v>3184269.7300511482</v>
      </c>
      <c r="M10" s="4">
        <f>AVERAGE($L$4:L10)</f>
        <v>2495520.6440567463</v>
      </c>
      <c r="O10" s="3">
        <f t="shared" si="5"/>
        <v>9.4736842105263095E-3</v>
      </c>
      <c r="P10" s="4">
        <f t="shared" si="6"/>
        <v>28921.348924317746</v>
      </c>
      <c r="Q10" s="4">
        <f t="shared" si="7"/>
        <v>350269.67030562629</v>
      </c>
      <c r="R10" s="3">
        <f>IF($A10&lt;'Earn Impact Capital'!$D$11,$A10/'Earn Impact Capital'!$D$11*('Earn Impact Capital'!$D$10-'Earn Impact Capital'!$D$5)+'Earn Impact Capital'!$D$5,'Earn Impact Capital'!$D$10)</f>
        <v>0.11</v>
      </c>
      <c r="T10" s="3">
        <f t="shared" si="12"/>
        <v>8.6124401913875714E-4</v>
      </c>
      <c r="U10" s="4">
        <f t="shared" si="13"/>
        <v>2629.2135385743459</v>
      </c>
      <c r="V10" s="4">
        <f t="shared" si="8"/>
        <v>31842.697300511471</v>
      </c>
      <c r="W10" s="3">
        <f t="shared" si="9"/>
        <v>9.999999999999995E-3</v>
      </c>
    </row>
    <row r="11" spans="1:23" ht="20.25">
      <c r="A11" s="1">
        <v>7</v>
      </c>
      <c r="B11" s="3">
        <f t="shared" si="10"/>
        <v>0.09</v>
      </c>
      <c r="C11" s="4">
        <f t="shared" si="0"/>
        <v>3470854.0057557519</v>
      </c>
      <c r="D11" s="4">
        <f>AVERAGE($C$4:C11)</f>
        <v>2617437.3142691222</v>
      </c>
      <c r="F11" s="3">
        <f t="shared" si="1"/>
        <v>8.612440191387568E-3</v>
      </c>
      <c r="G11" s="4">
        <f t="shared" si="2"/>
        <v>28658.427570460364</v>
      </c>
      <c r="H11" s="4">
        <f t="shared" si="3"/>
        <v>347085.40057557519</v>
      </c>
      <c r="I11" s="3">
        <f>IF($A11&lt;'Earn Impact Capital'!$C$11,$A11/'Earn Impact Capital'!$C$11*('Earn Impact Capital'!$C$10-'Earn Impact Capital'!$D$5)+'Earn Impact Capital'!$D$5,'Earn Impact Capital'!$C$10)</f>
        <v>0.1</v>
      </c>
      <c r="K11" s="3">
        <f t="shared" si="11"/>
        <v>0.09</v>
      </c>
      <c r="L11" s="4">
        <f t="shared" si="4"/>
        <v>3470854.0057557519</v>
      </c>
      <c r="M11" s="4">
        <f>AVERAGE($L$4:L11)</f>
        <v>2617437.3142691222</v>
      </c>
      <c r="O11" s="3">
        <f t="shared" si="5"/>
        <v>9.4736842105263286E-3</v>
      </c>
      <c r="P11" s="4">
        <f t="shared" si="6"/>
        <v>31524.270327506412</v>
      </c>
      <c r="Q11" s="4">
        <f t="shared" si="7"/>
        <v>381793.9406331327</v>
      </c>
      <c r="R11" s="3">
        <f>IF($A11&lt;'Earn Impact Capital'!$D$11,$A11/'Earn Impact Capital'!$D$11*('Earn Impact Capital'!$D$10-'Earn Impact Capital'!$D$5)+'Earn Impact Capital'!$D$5,'Earn Impact Capital'!$D$10)</f>
        <v>0.11</v>
      </c>
      <c r="T11" s="3">
        <f t="shared" si="12"/>
        <v>8.6124401913876061E-4</v>
      </c>
      <c r="U11" s="4">
        <f t="shared" si="13"/>
        <v>2865.8427570460481</v>
      </c>
      <c r="V11" s="4">
        <f t="shared" si="8"/>
        <v>34708.540057557519</v>
      </c>
      <c r="W11" s="3">
        <f t="shared" si="9"/>
        <v>9.999999999999995E-3</v>
      </c>
    </row>
    <row r="12" spans="1:23" ht="20.25">
      <c r="A12" s="1">
        <v>8</v>
      </c>
      <c r="B12" s="3">
        <f t="shared" si="10"/>
        <v>0.09</v>
      </c>
      <c r="C12" s="4">
        <f t="shared" si="0"/>
        <v>3783230.8662737696</v>
      </c>
      <c r="D12" s="4">
        <f>AVERAGE($C$4:C12)</f>
        <v>2746969.9311585273</v>
      </c>
      <c r="F12" s="3">
        <f t="shared" si="1"/>
        <v>8.6124401913875628E-3</v>
      </c>
      <c r="G12" s="4">
        <f t="shared" si="2"/>
        <v>31237.686051801778</v>
      </c>
      <c r="H12" s="4">
        <f t="shared" si="3"/>
        <v>378323.08662737696</v>
      </c>
      <c r="I12" s="3">
        <f>IF($A12&lt;'Earn Impact Capital'!$C$11,$A12/'Earn Impact Capital'!$C$11*('Earn Impact Capital'!$C$10-'Earn Impact Capital'!$D$5)+'Earn Impact Capital'!$D$5,'Earn Impact Capital'!$C$10)</f>
        <v>0.1</v>
      </c>
      <c r="K12" s="3">
        <f t="shared" si="11"/>
        <v>0.09</v>
      </c>
      <c r="L12" s="4">
        <f t="shared" si="4"/>
        <v>3783230.8662737696</v>
      </c>
      <c r="M12" s="4">
        <f>AVERAGE($L$4:L12)</f>
        <v>2746969.9311585273</v>
      </c>
      <c r="O12" s="3">
        <f t="shared" si="5"/>
        <v>9.4736842105263251E-3</v>
      </c>
      <c r="P12" s="4">
        <f t="shared" si="6"/>
        <v>34361.454656981979</v>
      </c>
      <c r="Q12" s="4">
        <f t="shared" si="7"/>
        <v>416155.39529011468</v>
      </c>
      <c r="R12" s="3">
        <f>IF($A12&lt;'Earn Impact Capital'!$D$11,$A12/'Earn Impact Capital'!$D$11*('Earn Impact Capital'!$D$10-'Earn Impact Capital'!$D$5)+'Earn Impact Capital'!$D$5,'Earn Impact Capital'!$D$10)</f>
        <v>0.11</v>
      </c>
      <c r="T12" s="3">
        <f t="shared" si="12"/>
        <v>8.6124401913876235E-4</v>
      </c>
      <c r="U12" s="4">
        <f t="shared" si="13"/>
        <v>3123.7686051802011</v>
      </c>
      <c r="V12" s="4">
        <f t="shared" si="8"/>
        <v>37832.30866273772</v>
      </c>
      <c r="W12" s="3">
        <f t="shared" si="9"/>
        <v>9.999999999999995E-3</v>
      </c>
    </row>
    <row r="13" spans="1:23" ht="20.25">
      <c r="A13" s="1">
        <v>9</v>
      </c>
      <c r="B13" s="3">
        <f t="shared" si="10"/>
        <v>0.09</v>
      </c>
      <c r="C13" s="4">
        <f t="shared" si="0"/>
        <v>4123721.6442384091</v>
      </c>
      <c r="D13" s="4">
        <f>AVERAGE($C$4:C13)</f>
        <v>2884645.1024665153</v>
      </c>
      <c r="F13" s="3">
        <f t="shared" si="1"/>
        <v>8.6124401913875714E-3</v>
      </c>
      <c r="G13" s="4">
        <f t="shared" si="2"/>
        <v>34049.077796463971</v>
      </c>
      <c r="H13" s="4">
        <f t="shared" si="3"/>
        <v>412372.16442384094</v>
      </c>
      <c r="I13" s="3">
        <f>IF($A13&lt;'Earn Impact Capital'!$C$11,$A13/'Earn Impact Capital'!$C$11*('Earn Impact Capital'!$C$10-'Earn Impact Capital'!$D$5)+'Earn Impact Capital'!$D$5,'Earn Impact Capital'!$C$10)</f>
        <v>0.1</v>
      </c>
      <c r="K13" s="3">
        <f t="shared" si="11"/>
        <v>0.09</v>
      </c>
      <c r="L13" s="4">
        <f t="shared" si="4"/>
        <v>4123721.6442384091</v>
      </c>
      <c r="M13" s="4">
        <f>AVERAGE($L$4:L13)</f>
        <v>2884645.1024665153</v>
      </c>
      <c r="O13" s="3">
        <f t="shared" si="5"/>
        <v>9.473684210526313E-3</v>
      </c>
      <c r="P13" s="4">
        <f t="shared" si="6"/>
        <v>37453.98557611031</v>
      </c>
      <c r="Q13" s="4">
        <f t="shared" si="7"/>
        <v>453609.38086622499</v>
      </c>
      <c r="R13" s="3">
        <f>IF($A13&lt;'Earn Impact Capital'!$D$11,$A13/'Earn Impact Capital'!$D$11*('Earn Impact Capital'!$D$10-'Earn Impact Capital'!$D$5)+'Earn Impact Capital'!$D$5,'Earn Impact Capital'!$D$10)</f>
        <v>0.11</v>
      </c>
      <c r="T13" s="3">
        <f t="shared" si="12"/>
        <v>8.6124401913874153E-4</v>
      </c>
      <c r="U13" s="4">
        <f t="shared" si="13"/>
        <v>3404.9077796463389</v>
      </c>
      <c r="V13" s="4">
        <f t="shared" si="8"/>
        <v>41237.216442384059</v>
      </c>
      <c r="W13" s="3">
        <f t="shared" si="9"/>
        <v>9.999999999999995E-3</v>
      </c>
    </row>
    <row r="14" spans="1:23" ht="20.25">
      <c r="A14" s="1">
        <v>10</v>
      </c>
      <c r="B14" s="3">
        <f t="shared" si="10"/>
        <v>0.09</v>
      </c>
      <c r="C14" s="4">
        <f t="shared" si="0"/>
        <v>4494856.5922198659</v>
      </c>
      <c r="D14" s="4">
        <f>AVERAGE($C$4:C14)</f>
        <v>3031027.9651713655</v>
      </c>
      <c r="F14" s="3">
        <f t="shared" si="1"/>
        <v>8.6124401913875558E-3</v>
      </c>
      <c r="G14" s="4">
        <f t="shared" si="2"/>
        <v>37113.494798145664</v>
      </c>
      <c r="H14" s="4">
        <f t="shared" si="3"/>
        <v>449485.6592219866</v>
      </c>
      <c r="I14" s="3">
        <f>IF($A14&lt;'Earn Impact Capital'!$C$11,$A14/'Earn Impact Capital'!$C$11*('Earn Impact Capital'!$C$10-'Earn Impact Capital'!$D$5)+'Earn Impact Capital'!$D$5,'Earn Impact Capital'!$C$10)</f>
        <v>0.1</v>
      </c>
      <c r="K14" s="3">
        <f t="shared" si="11"/>
        <v>0.09</v>
      </c>
      <c r="L14" s="4">
        <f t="shared" si="4"/>
        <v>4494856.5922198659</v>
      </c>
      <c r="M14" s="4">
        <f>AVERAGE($L$4:L14)</f>
        <v>3031027.9651713655</v>
      </c>
      <c r="O14" s="3">
        <f t="shared" si="5"/>
        <v>9.4736842105263147E-3</v>
      </c>
      <c r="P14" s="4">
        <f t="shared" si="6"/>
        <v>40824.844277960248</v>
      </c>
      <c r="Q14" s="4">
        <f t="shared" si="7"/>
        <v>494434.22514418524</v>
      </c>
      <c r="R14" s="3">
        <f>IF($A14&lt;'Earn Impact Capital'!$D$11,$A14/'Earn Impact Capital'!$D$11*('Earn Impact Capital'!$D$10-'Earn Impact Capital'!$D$5)+'Earn Impact Capital'!$D$5,'Earn Impact Capital'!$D$10)</f>
        <v>0.11</v>
      </c>
      <c r="T14" s="3">
        <f t="shared" si="12"/>
        <v>8.6124401913875888E-4</v>
      </c>
      <c r="U14" s="4">
        <f t="shared" si="13"/>
        <v>3711.3494798145839</v>
      </c>
      <c r="V14" s="4">
        <f t="shared" si="8"/>
        <v>44948.565922198643</v>
      </c>
      <c r="W14" s="3">
        <f t="shared" si="9"/>
        <v>9.999999999999995E-3</v>
      </c>
    </row>
    <row r="15" spans="1:23">
      <c r="C15" s="8"/>
      <c r="L15" s="8"/>
    </row>
    <row r="16" spans="1:23" ht="20.25">
      <c r="A16" s="12" t="s">
        <v>87</v>
      </c>
      <c r="C16" s="9"/>
      <c r="G16" s="4">
        <f>SUMIF($A$5:$A$14,"&lt;="&amp;'Earn Impact Capital'!$C$11,G5:G14)</f>
        <v>41789.858760000061</v>
      </c>
      <c r="H16" s="4"/>
      <c r="I16" s="14"/>
      <c r="L16" s="9"/>
      <c r="P16" s="4">
        <f>SUMIF($A$5:$A$14,"&lt;="&amp;'Earn Impact Capital'!$D$11,P5:P14)</f>
        <v>64348.028316000069</v>
      </c>
      <c r="Q16" s="4"/>
      <c r="R16" s="14"/>
      <c r="U16" s="4">
        <f>P16-G16</f>
        <v>22558.169556000008</v>
      </c>
      <c r="V16" s="4"/>
      <c r="W16" s="14"/>
    </row>
    <row r="17" spans="1:22" ht="20.25">
      <c r="A17" s="12" t="s">
        <v>14</v>
      </c>
      <c r="G17" s="3">
        <f>G16/G18/'Earn Impact Capital'!C11</f>
        <v>1.0071382813214985E-2</v>
      </c>
      <c r="H17" s="4"/>
      <c r="P17" s="3">
        <f>P16/P18/'Earn Impact Capital'!D11</f>
        <v>1.55079161709527E-2</v>
      </c>
      <c r="Q17" s="4"/>
      <c r="U17" s="3">
        <f t="shared" ref="U17:U19" si="14">P17-G17</f>
        <v>5.4365333577377148E-3</v>
      </c>
      <c r="V17" s="4"/>
    </row>
    <row r="18" spans="1:22" ht="20.25">
      <c r="A18" s="12" t="s">
        <v>88</v>
      </c>
      <c r="G18" s="4">
        <f>SUMIF($A$4:$A$14,"&lt;="&amp;'Earn Impact Capital'!C11,$C$4:$C$14)/('Earn Impact Capital'!C11+1)</f>
        <v>2074683.2652000003</v>
      </c>
      <c r="H18" s="3"/>
      <c r="P18" s="4">
        <f>SUMIF($A$4:$A$14,"&lt;="&amp;'Earn Impact Capital'!D11,$L$4:$L$14)/('Earn Impact Capital'!D11+1)</f>
        <v>2074683.2652000003</v>
      </c>
      <c r="Q18" s="3"/>
      <c r="U18" s="4">
        <f t="shared" si="14"/>
        <v>0</v>
      </c>
      <c r="V18" s="3"/>
    </row>
    <row r="19" spans="1:22" ht="20.45" customHeight="1">
      <c r="A19" s="12" t="s">
        <v>89</v>
      </c>
      <c r="G19" s="3">
        <f>B5</f>
        <v>0.09</v>
      </c>
      <c r="P19" s="3">
        <f>K5</f>
        <v>0.09</v>
      </c>
      <c r="U19" s="3">
        <f t="shared" si="14"/>
        <v>0</v>
      </c>
    </row>
  </sheetData>
  <mergeCells count="5">
    <mergeCell ref="F2:I2"/>
    <mergeCell ref="B2:D2"/>
    <mergeCell ref="O2:R2"/>
    <mergeCell ref="K2:M2"/>
    <mergeCell ref="T2:W2"/>
  </mergeCells>
  <pageMargins left="0.7" right="0.7" top="0.75" bottom="0.75" header="0.3" footer="0.3"/>
  <pageSetup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026695F-9D91-470E-8772-3E9205A05327}">
            <xm:f>$A6&gt;'Earn Impact Capital'!$C$11</xm:f>
            <x14:dxf>
              <fill>
                <patternFill>
                  <bgColor theme="0" tint="-0.14996795556505021"/>
                </patternFill>
              </fill>
            </x14:dxf>
          </x14:cfRule>
          <xm:sqref>B6:I14</xm:sqref>
        </x14:conditionalFormatting>
        <x14:conditionalFormatting xmlns:xm="http://schemas.microsoft.com/office/excel/2006/main">
          <x14:cfRule type="expression" priority="1" id="{9010E779-0AA8-42D4-8DB9-A8E90956F8AA}">
            <xm:f>$A6&gt;'Earn Impact Capital'!$D$11</xm:f>
            <x14:dxf>
              <fill>
                <patternFill>
                  <bgColor theme="0" tint="-0.14996795556505021"/>
                </patternFill>
              </fill>
            </x14:dxf>
          </x14:cfRule>
          <xm:sqref>K6:R14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BF7588D478BB459526D7B24C9863BD" ma:contentTypeVersion="17" ma:contentTypeDescription="Create a new document." ma:contentTypeScope="" ma:versionID="76915befc2f50fb5b69470ae24e68230">
  <xsd:schema xmlns:xsd="http://www.w3.org/2001/XMLSchema" xmlns:xs="http://www.w3.org/2001/XMLSchema" xmlns:p="http://schemas.microsoft.com/office/2006/metadata/properties" xmlns:ns2="c424f5f8-a959-49f0-9e93-c066f1539e42" xmlns:ns3="a7ea29c3-3658-4951-8549-691ddfd3566c" targetNamespace="http://schemas.microsoft.com/office/2006/metadata/properties" ma:root="true" ma:fieldsID="9bc3dc63dde6052906bedaa66686e76f" ns2:_="" ns3:_="">
    <xsd:import namespace="c424f5f8-a959-49f0-9e93-c066f1539e42"/>
    <xsd:import namespace="a7ea29c3-3658-4951-8549-691ddfd35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4f5f8-a959-49f0-9e93-c066f1539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0a41c5c-551e-4896-8059-2b95d1fa85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a29c3-3658-4951-8549-691ddfd35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7ac0-7d5f-40da-a296-4c58e7775317}" ma:internalName="TaxCatchAll" ma:showField="CatchAllData" ma:web="a7ea29c3-3658-4951-8549-691ddfd35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ea29c3-3658-4951-8549-691ddfd3566c" xsi:nil="true"/>
    <lcf76f155ced4ddcb4097134ff3c332f xmlns="c424f5f8-a959-49f0-9e93-c066f1539e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25864-53EC-458E-8D2D-7130132181F7}"/>
</file>

<file path=customXml/itemProps2.xml><?xml version="1.0" encoding="utf-8"?>
<ds:datastoreItem xmlns:ds="http://schemas.openxmlformats.org/officeDocument/2006/customXml" ds:itemID="{9E94D1EE-6D9B-49EF-91B3-0B7368B259FD}"/>
</file>

<file path=customXml/itemProps3.xml><?xml version="1.0" encoding="utf-8"?>
<ds:datastoreItem xmlns:ds="http://schemas.openxmlformats.org/officeDocument/2006/customXml" ds:itemID="{311EB0AA-C0E8-45FD-B103-987265E36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 User</dc:creator>
  <cp:keywords/>
  <dc:description/>
  <cp:lastModifiedBy/>
  <cp:revision/>
  <dcterms:created xsi:type="dcterms:W3CDTF">2018-05-06T11:08:02Z</dcterms:created>
  <dcterms:modified xsi:type="dcterms:W3CDTF">2025-07-08T19:06:13Z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0x010100BEBF7588D478BB459526D7B24C9863BD</vt:lpwstr>
  </property>
</Properties>
</file>